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EYLÜL 2022 MENÜ PLANI\"/>
    </mc:Choice>
  </mc:AlternateContent>
  <xr:revisionPtr revIDLastSave="0" documentId="13_ncr:1_{E856E00D-7ED5-47EC-BF83-051C137FB657}" xr6:coauthVersionLast="47" xr6:coauthVersionMax="47" xr10:uidLastSave="{00000000-0000-0000-0000-000000000000}"/>
  <bookViews>
    <workbookView xWindow="-110" yWindow="-110" windowWidth="19420" windowHeight="10420" tabRatio="611" firstSheet="3" activeTab="8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HZN!$A$1:$N$88</definedName>
    <definedName name="_xlnm.Print_Area" localSheetId="10">KSM!$A$1:$P$88</definedName>
    <definedName name="_xlnm.Print_Area" localSheetId="2">MRT!$A$1:$P$88</definedName>
    <definedName name="_xlnm.Print_Area" localSheetId="4">MYS!$A$1:$P$86</definedName>
    <definedName name="_xlnm.Print_Area" localSheetId="3">NSN!$A$1:$P$88</definedName>
    <definedName name="_xlnm.Print_Area" localSheetId="0">OCK!$A$1:$P$88</definedName>
    <definedName name="_xlnm.Print_Area" localSheetId="1">SBT!$A$1:$P$88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3" i="11" l="1"/>
  <c r="C73" i="11"/>
  <c r="I6" i="18"/>
  <c r="O21" i="9" l="1"/>
  <c r="M21" i="9"/>
  <c r="K21" i="9"/>
  <c r="C34" i="9" l="1"/>
  <c r="E34" i="9"/>
  <c r="G34" i="9"/>
  <c r="I34" i="9"/>
  <c r="K34" i="9"/>
  <c r="I6" i="19" l="1"/>
  <c r="I6" i="17"/>
  <c r="I6" i="16"/>
  <c r="I6" i="15"/>
  <c r="I6" i="14"/>
  <c r="I6" i="13"/>
  <c r="I6" i="12"/>
  <c r="I6" i="11"/>
  <c r="E73" i="10"/>
  <c r="C73" i="10"/>
  <c r="O60" i="10"/>
  <c r="E73" i="6"/>
  <c r="C73" i="6"/>
  <c r="O60" i="6"/>
  <c r="M60" i="6"/>
  <c r="K60" i="6"/>
  <c r="I60" i="6"/>
  <c r="E73" i="9"/>
  <c r="C73" i="9"/>
  <c r="O60" i="9"/>
  <c r="M60" i="9"/>
  <c r="K60" i="9"/>
  <c r="I60" i="9"/>
  <c r="I6" i="10"/>
  <c r="I6" i="9"/>
  <c r="G60" i="6"/>
  <c r="E60" i="6"/>
  <c r="C60" i="6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O8" i="11"/>
  <c r="M8" i="11"/>
  <c r="K8" i="11"/>
  <c r="I8" i="11"/>
  <c r="G8" i="11"/>
  <c r="E8" i="11"/>
  <c r="C8" i="11"/>
  <c r="E71" i="12"/>
  <c r="C71" i="12"/>
  <c r="O58" i="12"/>
  <c r="M58" i="12"/>
  <c r="K58" i="12"/>
  <c r="I58" i="12"/>
  <c r="G58" i="12"/>
  <c r="C58" i="12"/>
  <c r="O45" i="12"/>
  <c r="M45" i="12"/>
  <c r="K45" i="12"/>
  <c r="I45" i="12"/>
  <c r="G45" i="12"/>
  <c r="E45" i="12"/>
  <c r="C45" i="12"/>
  <c r="O33" i="12"/>
  <c r="M33" i="12"/>
  <c r="K33" i="12"/>
  <c r="I33" i="12"/>
  <c r="G33" i="12"/>
  <c r="E33" i="12"/>
  <c r="C33" i="12"/>
  <c r="O21" i="12"/>
  <c r="M21" i="12"/>
  <c r="K21" i="12"/>
  <c r="I21" i="12"/>
  <c r="G21" i="12"/>
  <c r="E21" i="12"/>
  <c r="C21" i="12"/>
  <c r="O8" i="12"/>
  <c r="M8" i="12"/>
  <c r="K8" i="12"/>
  <c r="I8" i="12"/>
  <c r="G8" i="12"/>
  <c r="E8" i="12"/>
  <c r="C8" i="12"/>
  <c r="E73" i="13"/>
  <c r="C73" i="13"/>
  <c r="M60" i="13"/>
  <c r="K60" i="13"/>
  <c r="I60" i="13"/>
  <c r="G60" i="13"/>
  <c r="E60" i="13"/>
  <c r="C60" i="13"/>
  <c r="M47" i="13"/>
  <c r="K47" i="13"/>
  <c r="I47" i="13"/>
  <c r="G47" i="13"/>
  <c r="E47" i="13"/>
  <c r="C47" i="13"/>
  <c r="M34" i="13"/>
  <c r="I34" i="13"/>
  <c r="G34" i="13"/>
  <c r="E34" i="13"/>
  <c r="C34" i="13"/>
  <c r="M21" i="13"/>
  <c r="I21" i="13"/>
  <c r="G21" i="13"/>
  <c r="E21" i="13"/>
  <c r="C21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C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G60" i="18"/>
  <c r="E60" i="18"/>
  <c r="C60" i="18"/>
  <c r="O47" i="18"/>
  <c r="M47" i="18"/>
  <c r="K47" i="18"/>
  <c r="I47" i="18"/>
  <c r="G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M60" i="10"/>
  <c r="K60" i="10"/>
  <c r="I60" i="10"/>
  <c r="G60" i="10"/>
  <c r="E60" i="10"/>
  <c r="C60" i="10"/>
  <c r="O47" i="10"/>
  <c r="M47" i="10"/>
  <c r="K47" i="10"/>
  <c r="I47" i="10"/>
  <c r="G47" i="10"/>
  <c r="E47" i="10"/>
  <c r="C47" i="10"/>
  <c r="O34" i="10"/>
  <c r="M34" i="10"/>
  <c r="I34" i="10"/>
  <c r="G34" i="10"/>
  <c r="E34" i="10"/>
  <c r="C34" i="10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G60" i="9"/>
  <c r="E60" i="9"/>
  <c r="C60" i="9"/>
  <c r="O47" i="9"/>
  <c r="M47" i="9"/>
  <c r="K47" i="9"/>
  <c r="I47" i="9"/>
  <c r="G47" i="9"/>
  <c r="E47" i="9"/>
  <c r="C47" i="9"/>
  <c r="O34" i="9"/>
  <c r="M34" i="9"/>
  <c r="I21" i="9"/>
  <c r="G21" i="9"/>
  <c r="E21" i="9"/>
  <c r="C21" i="9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<sst xmlns="http://schemas.openxmlformats.org/spreadsheetml/2006/main" count="2506" uniqueCount="399">
  <si>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</si>
  <si>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</si>
  <si>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</si>
  <si>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</si>
  <si>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</si>
  <si>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</si>
  <si>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</si>
  <si>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</si>
  <si>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</si>
  <si>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</si>
  <si>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</si>
  <si>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</si>
  <si>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</si>
  <si>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</si>
  <si>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</si>
  <si>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</si>
  <si>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</si>
  <si>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</si>
  <si>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</si>
  <si>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</si>
  <si>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</si>
  <si>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</si>
  <si>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</si>
  <si>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</si>
  <si>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</si>
  <si>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</si>
  <si>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</si>
  <si>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</si>
  <si>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</si>
  <si>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</si>
  <si>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TATLI,İÇECEK VS.</t>
  </si>
  <si>
    <t>EZOGELİN ÇORBA</t>
  </si>
  <si>
    <t>TATİL</t>
  </si>
  <si>
    <t>GEMİCİ USULÜ KURUFASÜLYE</t>
  </si>
  <si>
    <t>PİZZA</t>
  </si>
  <si>
    <t>TEL ŞEHRİYELİ PİRİNÇ PİLAV</t>
  </si>
  <si>
    <t>BONFRİT CİPS</t>
  </si>
  <si>
    <t>YEŞİL ELMA</t>
  </si>
  <si>
    <t>AYRAN</t>
  </si>
  <si>
    <t>CACIK</t>
  </si>
  <si>
    <t>MEYVE</t>
  </si>
  <si>
    <t>EKŞİLİ TARHANA</t>
  </si>
  <si>
    <t>DOMATES ÇORBA</t>
  </si>
  <si>
    <t>SOSLU YOĞURT ÇORBA</t>
  </si>
  <si>
    <t>MERCİMEK ÇORBA</t>
  </si>
  <si>
    <t>TAVUKSUYU ÇORBA</t>
  </si>
  <si>
    <t>TAZE FASÜLYE</t>
  </si>
  <si>
    <t>KÖRİ SOSLU PİLİÇ</t>
  </si>
  <si>
    <t>HARPUT KÖFTE</t>
  </si>
  <si>
    <t>EKMEK ARASI ET DÖNER</t>
  </si>
  <si>
    <t>KIYMALI YEŞİLMERCİMEK</t>
  </si>
  <si>
    <t>GÖZLEME</t>
  </si>
  <si>
    <t>SADE BULGUR PİLAVI</t>
  </si>
  <si>
    <t>MAKARNA</t>
  </si>
  <si>
    <t>SEBZELİ PİRİNÇ PİLAVI</t>
  </si>
  <si>
    <t>CİPS</t>
  </si>
  <si>
    <t>ARPA ŞEHRİYELİ PİRİNÇ PİLAV</t>
  </si>
  <si>
    <t>YOĞURT</t>
  </si>
  <si>
    <t>ŞEKERPARE</t>
  </si>
  <si>
    <t>ÜZÜM KOMPOSTO</t>
  </si>
  <si>
    <t>SÜTLÜ İRMİK TATLI</t>
  </si>
  <si>
    <t>SÖĞÜŞ DOMATES SALATALIK</t>
  </si>
  <si>
    <t>ZEYTİNLİ SALATA</t>
  </si>
  <si>
    <t>PATATES SALATA</t>
  </si>
  <si>
    <t>GAVURDAĞ SALATA</t>
  </si>
  <si>
    <t>ARMUT SANTAMARİA</t>
  </si>
  <si>
    <t>MEVSİM SALATA</t>
  </si>
  <si>
    <t>TEL ŞEHRİYE ÇORBA</t>
  </si>
  <si>
    <t>KREMALI TAVUK ÇORBA</t>
  </si>
  <si>
    <t>BEZELYE YEMEĞİ</t>
  </si>
  <si>
    <t>ETLİ FIRIN KEBAP</t>
  </si>
  <si>
    <t>CHİCKEN FİLETO</t>
  </si>
  <si>
    <t>EKMEK ARASI KÖFTE</t>
  </si>
  <si>
    <t>GEMİCİ USULÜ NOHUT</t>
  </si>
  <si>
    <t>MENEMEN</t>
  </si>
  <si>
    <t>TEL ŞEHRİYELİ BULGUR PİLAV</t>
  </si>
  <si>
    <t>SEBZELİ PATATES PÜRE</t>
  </si>
  <si>
    <t>PATATES CİPSİ</t>
  </si>
  <si>
    <t>MİLFÖY BÖREK</t>
  </si>
  <si>
    <t>UN HELVASI</t>
  </si>
  <si>
    <t xml:space="preserve">AĞLAYAN PASTA </t>
  </si>
  <si>
    <t>MANDALİNA</t>
  </si>
  <si>
    <t>YEŞİL SALATA</t>
  </si>
  <si>
    <t>SEBZE GARNİTÜR</t>
  </si>
  <si>
    <t>KIRMIZI LAHANA SALATA</t>
  </si>
  <si>
    <t>MEYVE SUYU</t>
  </si>
  <si>
    <t>MISIR ÇORBASI</t>
  </si>
  <si>
    <t>SOSLU MERCİMEK ÇORBA</t>
  </si>
  <si>
    <t>ŞEFİN ÇORBA</t>
  </si>
  <si>
    <t>HAVUÇ ÇORBA</t>
  </si>
  <si>
    <t>,</t>
  </si>
  <si>
    <t>ETLİ PATATES YEMEĞİ</t>
  </si>
  <si>
    <t>TAVUK ÇÖKERTME</t>
  </si>
  <si>
    <t>ÇITIR BALIK</t>
  </si>
  <si>
    <t>KIYMALI KURUFASÜLYE</t>
  </si>
  <si>
    <t>TAVUK TANTUNİ</t>
  </si>
  <si>
    <t>SOSLU MAKARNA</t>
  </si>
  <si>
    <t>PİRİNÇ PİLAVI</t>
  </si>
  <si>
    <t>ELMA DİLİM PATATES</t>
  </si>
  <si>
    <t>KAZANDİBİ TATLI</t>
  </si>
  <si>
    <t>SADE TAHİN HELVA</t>
  </si>
  <si>
    <t>SPECİAL TATLI</t>
  </si>
  <si>
    <t>HAVUÇ  SALATA</t>
  </si>
  <si>
    <t>İTALYAN SALATA</t>
  </si>
  <si>
    <t>MURADİYE ÇORBASI</t>
  </si>
  <si>
    <t>TARHANA ÇORBA</t>
  </si>
  <si>
    <t>MEVSİM TÜRLÜ</t>
  </si>
  <si>
    <t>TAVUK DÖNER</t>
  </si>
  <si>
    <t>SEBZELİ KÖFTE</t>
  </si>
  <si>
    <t>TAS KEBABI</t>
  </si>
  <si>
    <t>MANTI</t>
  </si>
  <si>
    <t>FIRIN BAGET</t>
  </si>
  <si>
    <t>NOHUTLU PİLAV</t>
  </si>
  <si>
    <t>Y. MERCİMEKLİ BULGUR PİLAV</t>
  </si>
  <si>
    <t>KEŞKEK</t>
  </si>
  <si>
    <t>SEBZE SOTE(KABK,HVÇ,PTS)</t>
  </si>
  <si>
    <t>MAGNOLYA</t>
  </si>
  <si>
    <t>PORTAKALLI REVANİ</t>
  </si>
  <si>
    <t xml:space="preserve"> SPECİAL  SALATA</t>
  </si>
  <si>
    <t>MISIRLI SALATA</t>
  </si>
  <si>
    <t>ÇOBAN SALATA</t>
  </si>
  <si>
    <t>KISIR SALATA</t>
  </si>
  <si>
    <t>KARIŞIK SALATA</t>
  </si>
  <si>
    <t>TEDARİK VE MENÜ UYUMSUZLUĞU DURUMLARINDA MENÜ DE DEĞİŞİKLİK OLABİLİR.</t>
  </si>
  <si>
    <t>YAYLA ÇORBA</t>
  </si>
  <si>
    <t>KAŞARLI DOMATES ÇORBA</t>
  </si>
  <si>
    <t>ET DÖNER</t>
  </si>
  <si>
    <t>KISIR</t>
  </si>
  <si>
    <t>BULGUR PİLAVI</t>
  </si>
  <si>
    <t>AKDENİZ SALATA</t>
  </si>
  <si>
    <t>DİRSEK MAKARNA</t>
  </si>
  <si>
    <t>ARPA ŞEHİRYE ÇORBA</t>
  </si>
  <si>
    <t>TAVUK ELBASAN</t>
  </si>
  <si>
    <t>HAVUÇ SALATASI</t>
  </si>
  <si>
    <t>DOMATES ÇORBASI</t>
  </si>
  <si>
    <t>NOHUT YEMEĞİ</t>
  </si>
  <si>
    <t>SÜTLÜ İRMİK TATLISI</t>
  </si>
  <si>
    <t>YAYLA ÇORBASI</t>
  </si>
  <si>
    <t>ORMAN KEBABI</t>
  </si>
  <si>
    <t>ERİŞTE KAVURMA</t>
  </si>
  <si>
    <t>COLESLAW SALATA</t>
  </si>
  <si>
    <t xml:space="preserve">TATİL </t>
  </si>
  <si>
    <t>KIYMALI YEŞİL MERCİMEK</t>
  </si>
  <si>
    <t>EKŞİLİ TARHANA ÇORBA</t>
  </si>
  <si>
    <t>TAVUK PİRZOLA</t>
  </si>
  <si>
    <t>SEBZELİ BULGUR PİLAV</t>
  </si>
  <si>
    <t>PATATES MUSAKKA</t>
  </si>
  <si>
    <t>BURGU MAKARNA</t>
  </si>
  <si>
    <t>KEMALPAŞA TATLI</t>
  </si>
  <si>
    <t>PIRASA YEMEĞİ</t>
  </si>
  <si>
    <t>PEYNİRLİ GÜL BÖREĞİ</t>
  </si>
  <si>
    <t>ETİMEK TATLISI</t>
  </si>
  <si>
    <t>DOMATES SALATALIK SÖĞÜŞ</t>
  </si>
  <si>
    <t>TAVUKLU BODRUM ÇÖKERTME</t>
  </si>
  <si>
    <t>KREMALI MISIR ÇORBA</t>
  </si>
  <si>
    <t>KREMALI SEBZE ÇORBA</t>
  </si>
  <si>
    <t>KURUFASÜLYE</t>
  </si>
  <si>
    <t>ARPA ŞEHRİYE</t>
  </si>
  <si>
    <t>ŞEFİN ÇORBASI</t>
  </si>
  <si>
    <t>KIYMALI PATATES YEMEĞİ</t>
  </si>
  <si>
    <t>SEBZELİ BULGUR PİLAVI</t>
  </si>
  <si>
    <t>SÜZME MERCİMEK ÇORBA</t>
  </si>
  <si>
    <t>İZMİR KÖFTE</t>
  </si>
  <si>
    <t>BARBUNYA YEMEĞİ</t>
  </si>
  <si>
    <t>SCHNİTZEL</t>
  </si>
  <si>
    <t>HÜNKAR ÇORBA</t>
  </si>
  <si>
    <t>SEBZE SOTE</t>
  </si>
  <si>
    <t>EKMEK ARASI TAVUK DÖNER</t>
  </si>
  <si>
    <t>SEBZE GARNİ</t>
  </si>
  <si>
    <t>KARNIYARIK</t>
  </si>
  <si>
    <t>FINDIKLI MUHALLEBİ</t>
  </si>
  <si>
    <t>ÖĞLE YEMEĞİ</t>
  </si>
  <si>
    <t>TEDARİK VE MENÜ UYUMSUZLUĞU GİBİ DURUMLARDA DEĞİŞİKLİK OLABİLİR!!!</t>
  </si>
  <si>
    <t>HAMBURGER</t>
  </si>
  <si>
    <t>PATATES PÜRESİ</t>
  </si>
  <si>
    <t>SEBZELİ BEZELYE YEMEĞİ</t>
  </si>
  <si>
    <t>KALBURABASTI TATLI</t>
  </si>
  <si>
    <t>İRMİK HELVASI</t>
  </si>
  <si>
    <t>KALEM MAKARNA</t>
  </si>
  <si>
    <t>KÖFTE/PATATES</t>
  </si>
  <si>
    <t>GÜL BÖREĞİ</t>
  </si>
  <si>
    <t>KAKAOLU PUDİNG</t>
  </si>
  <si>
    <t>TAVUK BURGER</t>
  </si>
  <si>
    <t>TURŞU</t>
  </si>
  <si>
    <t>PATATES</t>
  </si>
  <si>
    <t>SAKIZLI MUHALLEBİ</t>
  </si>
  <si>
    <t>SOSLU FIRIN KÖFTE</t>
  </si>
  <si>
    <t>MAKARNA SALATA</t>
  </si>
  <si>
    <t>SALATA</t>
  </si>
  <si>
    <t>SÜTLAÇ</t>
  </si>
  <si>
    <t>SEBZE ÇORBA</t>
  </si>
  <si>
    <t>YOĞURTLU BUĞDAY ÇORBA</t>
  </si>
  <si>
    <t>SOSLU MİSKET KÖFTE</t>
  </si>
  <si>
    <t>ARPA ŞEH. PİRİNÇ PİLAVI</t>
  </si>
  <si>
    <t>MUHALLEBİ</t>
  </si>
  <si>
    <t>KIŞ ÇORBASI</t>
  </si>
  <si>
    <t>BARBUNYA</t>
  </si>
  <si>
    <t>SADE  PİRİNÇ PİLAVI</t>
  </si>
  <si>
    <t>ARPAŞEHRİYELİ PİRİNÇ PİLAV</t>
  </si>
  <si>
    <t>EKŞİLİ KÖFTE</t>
  </si>
  <si>
    <t>ETLİ SULTAN KEBABI</t>
  </si>
  <si>
    <t>MEYHANE PİLAVI</t>
  </si>
  <si>
    <t>PATLICAN SALATASI</t>
  </si>
  <si>
    <t>REVANİ TATLI</t>
  </si>
  <si>
    <t>HAVUÇLU SALATA</t>
  </si>
  <si>
    <t>TEDARİK VE MENÜ UYUMSUZLUĞU GİBİ DURUMLARDA MENÜ DEĞİŞİKLİĞİ OLABİLİR!!!</t>
  </si>
  <si>
    <t>HİNDİLİ TİFTİK KEBAP</t>
  </si>
  <si>
    <t>SEBZELİ PİRİNÇ OİLAVI</t>
  </si>
  <si>
    <t>KARNABAHAR GRATEN</t>
  </si>
  <si>
    <t>KIYMALI PIRASA YEMEĞİ</t>
  </si>
  <si>
    <t>ETLİ KURUFASÜLYE</t>
  </si>
  <si>
    <t>ETLİ SEBZELİ FIRIN KEBAP( PATATES)</t>
  </si>
  <si>
    <t>ETLİ NOHUT YEMEĞİ</t>
  </si>
  <si>
    <t>SADE PİRİNÇ PİLAV</t>
  </si>
  <si>
    <t>BULGUR PİLAV</t>
  </si>
  <si>
    <t>AĞLAYAN PASTA</t>
  </si>
  <si>
    <t>ET SOTE</t>
  </si>
  <si>
    <t>MERCİMEK ÇORBASI</t>
  </si>
  <si>
    <t>ANNE KÖFTE/PATATES</t>
  </si>
  <si>
    <t>-</t>
  </si>
  <si>
    <t>DÖNERLİ SANDVİÇ</t>
  </si>
  <si>
    <t>MAHLUTA ÇORBA</t>
  </si>
  <si>
    <t>ARPA ŞEHRİYE ÇORBA</t>
  </si>
  <si>
    <t>MANTARLI TAVUK SOTE</t>
  </si>
  <si>
    <t xml:space="preserve"> KIYMALI YEŞİL MERCİMEK</t>
  </si>
  <si>
    <t>KIRMIZI LAHANA SALATASI</t>
  </si>
  <si>
    <t>FIRIN MAKARNA</t>
  </si>
  <si>
    <t xml:space="preserve">SEBZELİ BEZELYE YEMEĞİ </t>
  </si>
  <si>
    <t>KÖFTELİ SANDVİÇ</t>
  </si>
  <si>
    <t>ICEBERG SALATA</t>
  </si>
  <si>
    <t>PİLAVÜSTÜ TAVUK DÖNER</t>
  </si>
  <si>
    <t>KIŞ TÜRLÜ</t>
  </si>
  <si>
    <t>TOYGA ÇORBA</t>
  </si>
  <si>
    <t>SPAGETTİ BOLOGNESE</t>
  </si>
  <si>
    <t>KARIŞIK TURŞU</t>
  </si>
  <si>
    <t>ERİŞTE MAKARNA</t>
  </si>
  <si>
    <t>NARLI YEŞİL SALATA</t>
  </si>
  <si>
    <t>ÇİFTLİK KEBAP</t>
  </si>
  <si>
    <t>PORTAKALLI REVANI</t>
  </si>
  <si>
    <t>SANDVİÇ</t>
  </si>
  <si>
    <t>TAVUKLU SANDVİÇ</t>
  </si>
  <si>
    <t>BROKOLİ ÇORBA</t>
  </si>
  <si>
    <t>YOĞURT SOSLU KARNABAHAR KIZARTMA</t>
  </si>
  <si>
    <t>ARAPAŞI ÇORBA</t>
  </si>
  <si>
    <t>PATATESLİ GÜL BÖREĞİ</t>
  </si>
  <si>
    <t>MİTİTE KÖFTE</t>
  </si>
  <si>
    <t>EKMEK ARASI TAVUK  TANTUNİ</t>
  </si>
  <si>
    <t>TEDARİK VE MENÜ UYUMSUZLUĞU GİBİ DURUMLARDA MENÜDE DEĞİŞİKLİK OLABİLİR !!!</t>
  </si>
  <si>
    <t>SOSLU FIRIN KANAT</t>
  </si>
  <si>
    <t xml:space="preserve">TURŞU </t>
  </si>
  <si>
    <t>ISPANAK YEMEĞİ</t>
  </si>
  <si>
    <t>TAVUK SOTE</t>
  </si>
  <si>
    <t>PATATES GRATEN</t>
  </si>
  <si>
    <t>RULO BÖREK</t>
  </si>
  <si>
    <t>PEYNİRLİ RULO BÖREK</t>
  </si>
  <si>
    <t>PÜRELİ ROSTO KÖFTE</t>
  </si>
  <si>
    <t>ŞAFAK ÇORBA</t>
  </si>
  <si>
    <t>ROKA SALATASI</t>
  </si>
  <si>
    <t>DÜĞÜN ÇORBA</t>
  </si>
  <si>
    <t>ETLİ FIRIN KEBABI</t>
  </si>
  <si>
    <t>SADE PİRİNÇ PİLAVI</t>
  </si>
  <si>
    <t>ISPANAK GRATEN</t>
  </si>
  <si>
    <t>PİLAVÜSTÜ ET DÖNER</t>
  </si>
  <si>
    <t>DOMATESLİ BULGUR PİLAVI</t>
  </si>
  <si>
    <t>PATATES SALATASI</t>
  </si>
  <si>
    <t>DOMATES SÖĞÜŞ</t>
  </si>
  <si>
    <t>BEŞEMAL SOSLU KARNIBAHAR</t>
  </si>
  <si>
    <t xml:space="preserve">ETLİ NOHUT </t>
  </si>
  <si>
    <t>TEL ŞEHRİYELİ  PİRİNÇ PİLAVI</t>
  </si>
  <si>
    <t>ARNAVUT CİĞERİ</t>
  </si>
  <si>
    <t>BİSKÜVİLİ SUPANGLE</t>
  </si>
  <si>
    <t>TAVUKLU ORMAN KEBAP</t>
  </si>
  <si>
    <t>PATATES YEMEĞİ</t>
  </si>
  <si>
    <t>KREMALI MANTAR ÇORBA</t>
  </si>
  <si>
    <t>CHİCKEN FİNGERS</t>
  </si>
  <si>
    <t>KREMALI İRMİK TATLI</t>
  </si>
  <si>
    <t xml:space="preserve"> KÖRİ SOSLU MAKARNA</t>
  </si>
  <si>
    <t>ETLİ BEZELYE YEMEĞİ</t>
  </si>
  <si>
    <t>ETLİ SEBZELİ KEBAP</t>
  </si>
  <si>
    <t>MUZLU PUDİNG</t>
  </si>
  <si>
    <t>SÖĞÜŞ TABAĞI</t>
  </si>
  <si>
    <t>BÖREK</t>
  </si>
  <si>
    <t>SUPANGLE</t>
  </si>
  <si>
    <t>ETLİ ANKARA TAVA</t>
  </si>
  <si>
    <t>KIYMALI  FIRIN PATATES</t>
  </si>
  <si>
    <t>ORMAN KEBAP</t>
  </si>
  <si>
    <t>SOĞUK SANDVİÇ</t>
  </si>
  <si>
    <t>ÇITIR TAVUK BURGER</t>
  </si>
  <si>
    <t>HAVUÇ SALATA</t>
  </si>
  <si>
    <t>SÜTLÜ TATLI</t>
  </si>
  <si>
    <t>ETLİ NOHUT</t>
  </si>
  <si>
    <t>ÜZÜM HOŞAFI</t>
  </si>
  <si>
    <t>ÇANAKKALE GEÇİLMEZ!!</t>
  </si>
  <si>
    <t>KIYMALI BEZELYE YEMEĞİ</t>
  </si>
  <si>
    <t>PİLİÇ CORDON BLUE</t>
  </si>
  <si>
    <t>DOMATESLİ ERİŞTE ÇORBA</t>
  </si>
  <si>
    <t>ŞEFİN KÖFTESİ</t>
  </si>
  <si>
    <t>ÇİĞ KÖFTE</t>
  </si>
  <si>
    <t>KARIŞIK PİZZA</t>
  </si>
  <si>
    <t>SOYA SOSLU PİLİÇ</t>
  </si>
  <si>
    <t>ZEYTİNİ SALATA</t>
  </si>
  <si>
    <t>KÖFTELİ TEPSİ KEBAP</t>
  </si>
  <si>
    <t>PATATESLİ GÖZLEME</t>
  </si>
  <si>
    <t>SADE PİRİN.Ç PİLAV</t>
  </si>
  <si>
    <t>PATLICAN OTURTMA</t>
  </si>
  <si>
    <t xml:space="preserve">PROFİTEROL </t>
  </si>
  <si>
    <t>ARPA ŞEHRİYELİ PİRİNÇ PİLAVI</t>
  </si>
  <si>
    <t>TİFTİK KEBABI</t>
  </si>
  <si>
    <t>YOĞURT ÇORBA</t>
  </si>
  <si>
    <t>PİRİNÇ PİLAV</t>
  </si>
  <si>
    <t xml:space="preserve"> TAS KEBABI</t>
  </si>
  <si>
    <t>ET SUYU ÇORBASI</t>
  </si>
  <si>
    <t>PİLİÇ SCHİNİTZEL</t>
  </si>
  <si>
    <t>SAHAN KÖFTE</t>
  </si>
  <si>
    <t>MOZAİK PASTA</t>
  </si>
  <si>
    <t xml:space="preserve">GÖZLEME </t>
  </si>
  <si>
    <t>SÖĞÜŞ</t>
  </si>
  <si>
    <t>SALÇALI MERCİMEK ÇORBA</t>
  </si>
  <si>
    <t>REVANİ</t>
  </si>
  <si>
    <t>KAZANDİBİ</t>
  </si>
  <si>
    <t>MEYVE,</t>
  </si>
  <si>
    <t>KALBURABASTI</t>
  </si>
  <si>
    <t>COLE SLAW SALATA</t>
  </si>
  <si>
    <t>TİFTİK KEBAP</t>
  </si>
  <si>
    <t>KORNİŞON TURŞU</t>
  </si>
  <si>
    <t>HASANPAŞA KÖFTE</t>
  </si>
  <si>
    <t>GENDİME ÇORBA</t>
  </si>
  <si>
    <t>KURUKÖFTE/PATATES GARNİ</t>
  </si>
  <si>
    <t>TAVUKLU KARNABAHAR GRATEN</t>
  </si>
  <si>
    <t>TEL ŞEHRİYELİ PİRİNÇ PİLAVI</t>
  </si>
  <si>
    <t>ETLİ  KURU FASÜLYE</t>
  </si>
  <si>
    <t>KIYMALI TAZE FASÜLYE</t>
  </si>
  <si>
    <t>BAYRAM TATİLİ</t>
  </si>
  <si>
    <t>SCHİNİTZEL</t>
  </si>
  <si>
    <t>TAVUKLU FIRIN PATATES</t>
  </si>
  <si>
    <t>ÇANAK KÖFTE</t>
  </si>
  <si>
    <t>TEL ŞEH. BULGUR PİLAV</t>
  </si>
  <si>
    <t xml:space="preserve"> EKMEK ARASI PİLİÇ TANTUNİ</t>
  </si>
  <si>
    <t>MISIR ÇORBA</t>
  </si>
  <si>
    <t>YEŞİL MERCİMEK</t>
  </si>
  <si>
    <t>SU BÖREĞİ</t>
  </si>
  <si>
    <t>SOSLU FIRIN BAGET</t>
  </si>
  <si>
    <t>PATATES OTURTMA</t>
  </si>
  <si>
    <t>RESMİ TATİL</t>
  </si>
  <si>
    <t xml:space="preserve">KIYMALI BEZELYE </t>
  </si>
  <si>
    <t xml:space="preserve">MENÜ UYUMSUZLUĞU VE TEDARİK KAYNAKLI DURUMLARDA DEĞİŞİKLİĞE GİDİLEBİLİR!!!   </t>
  </si>
  <si>
    <t>DANA KAVURMA</t>
  </si>
  <si>
    <t>BAKLAVA</t>
  </si>
  <si>
    <t>SPAGETTİ</t>
  </si>
  <si>
    <t xml:space="preserve">                ÇORUM BEŞLİ</t>
  </si>
  <si>
    <t>ROSTO KÖFTE/PÜRE</t>
  </si>
  <si>
    <t>MANGAL ETKİNLİĞİ</t>
  </si>
  <si>
    <t>NOHUT</t>
  </si>
  <si>
    <t>DİRSEK MAKARA</t>
  </si>
  <si>
    <t>FIRIN PATATES</t>
  </si>
  <si>
    <t>KARPUZ</t>
  </si>
  <si>
    <t>PİLİÇ SCHNITZEL</t>
  </si>
  <si>
    <t>ŞEHRİYELİ BULGUR PİLAV</t>
  </si>
  <si>
    <t>BRUNCH ETKİNLİĞİ</t>
  </si>
  <si>
    <t>ÖĞLE</t>
  </si>
  <si>
    <t>MEYHANE PİLAV</t>
  </si>
  <si>
    <t>SOSLU FIRIN KANAT/PATATES</t>
  </si>
  <si>
    <t>_</t>
  </si>
  <si>
    <t>ETLİ PATATES</t>
  </si>
  <si>
    <t>MİSKET KÖFTE</t>
  </si>
  <si>
    <t>KEMALPAŞA</t>
  </si>
  <si>
    <t xml:space="preserve">KIVIRCIK </t>
  </si>
  <si>
    <t>HAVUÇ</t>
  </si>
  <si>
    <t>DİLİM ZEYTİN</t>
  </si>
  <si>
    <t>PATLICAN MUSAKKA</t>
  </si>
  <si>
    <t xml:space="preserve">DOMATES </t>
  </si>
  <si>
    <t>SALATALIK</t>
  </si>
  <si>
    <t>MARUL</t>
  </si>
  <si>
    <t>BİBER</t>
  </si>
  <si>
    <t>FIRIN KÖFTE/PATATES</t>
  </si>
  <si>
    <t>MISIR</t>
  </si>
  <si>
    <t>HAYDARİ</t>
  </si>
  <si>
    <t>MERCİMEK KÖFTE</t>
  </si>
  <si>
    <t>KIRMIZI LAHANA</t>
  </si>
  <si>
    <t>KIVIRCIK</t>
  </si>
  <si>
    <t>DOMATES</t>
  </si>
  <si>
    <t>TAS KEBAP</t>
  </si>
  <si>
    <t>TAVUK PİRZOLA/GARNİ</t>
  </si>
  <si>
    <t xml:space="preserve">HAVUÇ </t>
  </si>
  <si>
    <t>SUCUKLU KURUFASÜLYE</t>
  </si>
  <si>
    <t>KREMALI DOMATES ÇORBA</t>
  </si>
  <si>
    <t>BUĞDAY ÇORBA</t>
  </si>
  <si>
    <t>BEŞAMEL SOSLU TAVUK</t>
  </si>
  <si>
    <t>YOĞURTLU SEMİZ OTU</t>
  </si>
  <si>
    <t>ŞEFİN KÖFTE</t>
  </si>
  <si>
    <t>PATLICAN SALATA</t>
  </si>
  <si>
    <t>ALİNAZİK KEBABI</t>
  </si>
  <si>
    <t>SADE BULGUR PİLAV</t>
  </si>
  <si>
    <t>ETLİ TAZE FASÜLYE</t>
  </si>
  <si>
    <t>HAVUÇ TARATOR</t>
  </si>
  <si>
    <t xml:space="preserve">MARUL </t>
  </si>
  <si>
    <t>SADE MAKARNA/SOS</t>
  </si>
  <si>
    <t>SADE  PİRİNÇ PİLAV</t>
  </si>
  <si>
    <t>PEYNİRLİ MAKARNA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</si>
</sst>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118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b/>
      <sz val="48"/>
      <color rgb="FFF9A23B"/>
      <name val="Cambria"/>
      <family val="1"/>
      <charset val="162"/>
      <scheme val="minor"/>
    </font>
    <font>
      <sz val="26"/>
      <color rgb="FFFF0000"/>
      <name val="Cambria"/>
      <family val="1"/>
      <charset val="162"/>
      <scheme val="minor"/>
    </font>
    <font>
      <sz val="22"/>
      <color rgb="FFFF0000"/>
      <name val="Cambria"/>
      <family val="1"/>
      <charset val="162"/>
      <scheme val="minor"/>
    </font>
    <font>
      <sz val="48"/>
      <color rgb="FFF9A23B"/>
      <name val="Cambria"/>
      <family val="2"/>
      <scheme val="minor"/>
    </font>
    <font>
      <sz val="28"/>
      <color rgb="FFFF0000"/>
      <name val="Cambria"/>
      <family val="1"/>
      <charset val="162"/>
      <scheme val="minor"/>
    </font>
    <font>
      <sz val="28"/>
      <color theme="1"/>
      <name val="Cambria"/>
      <family val="1"/>
      <charset val="162"/>
      <scheme val="minor"/>
    </font>
    <font>
      <sz val="36"/>
      <color theme="8"/>
      <name val="Cambria"/>
      <family val="1"/>
      <charset val="162"/>
      <scheme val="minor"/>
    </font>
    <font>
      <sz val="18"/>
      <name val="Cambria"/>
      <family val="2"/>
      <scheme val="minor"/>
    </font>
    <font>
      <sz val="18"/>
      <color rgb="FFB61E53"/>
      <name val="Cambria"/>
      <family val="1"/>
      <charset val="162"/>
      <scheme val="minor"/>
    </font>
    <font>
      <sz val="18"/>
      <color rgb="FFFFFF00"/>
      <name val="Cambria"/>
      <family val="2"/>
      <scheme val="minor"/>
    </font>
    <font>
      <b/>
      <sz val="18"/>
      <name val="Cambria"/>
      <family val="1"/>
      <charset val="162"/>
      <scheme val="minor"/>
    </font>
    <font>
      <sz val="18"/>
      <color theme="8"/>
      <name val="Cambria"/>
      <family val="2"/>
      <scheme val="minor"/>
    </font>
    <font>
      <sz val="18"/>
      <color rgb="FFB61E53"/>
      <name val="Cambria"/>
      <family val="2"/>
      <scheme val="minor"/>
    </font>
    <font>
      <b/>
      <sz val="18"/>
      <color rgb="FFF9A23B"/>
      <name val="Cambria"/>
      <family val="1"/>
      <charset val="162"/>
      <scheme val="minor"/>
    </font>
    <font>
      <sz val="18"/>
      <color theme="1"/>
      <name val="Cambria"/>
      <family val="2"/>
      <scheme val="minor"/>
    </font>
    <font>
      <b/>
      <sz val="18"/>
      <color rgb="FF00927E"/>
      <name val="Cambria"/>
      <family val="1"/>
      <charset val="162"/>
      <scheme val="minor"/>
    </font>
    <font>
      <b/>
      <sz val="18"/>
      <color rgb="FFB61E53"/>
      <name val="Cambria"/>
      <family val="1"/>
      <charset val="162"/>
      <scheme val="minor"/>
    </font>
    <font>
      <sz val="18"/>
      <color theme="1" tint="0.249977111117893"/>
      <name val="Cambria"/>
      <family val="2"/>
      <scheme val="minor"/>
    </font>
    <font>
      <b/>
      <sz val="18"/>
      <color theme="1" tint="0.249977111117893"/>
      <name val="Cambria"/>
      <family val="1"/>
      <charset val="162"/>
      <scheme val="minor"/>
    </font>
    <font>
      <b/>
      <sz val="18"/>
      <color rgb="FF0067A6"/>
      <name val="Cambria"/>
      <family val="1"/>
      <charset val="162"/>
      <scheme val="minor"/>
    </font>
    <font>
      <sz val="18"/>
      <color theme="1" tint="0.249977111117893"/>
      <name val="Century Gothic"/>
      <family val="2"/>
    </font>
    <font>
      <sz val="18"/>
      <name val="Century Gothic"/>
      <family val="2"/>
    </font>
    <font>
      <b/>
      <sz val="18"/>
      <color theme="1"/>
      <name val="Calibri"/>
      <family val="2"/>
      <charset val="162"/>
    </font>
    <font>
      <sz val="18"/>
      <color theme="1"/>
      <name val="Cambria"/>
      <family val="1"/>
      <charset val="162"/>
      <scheme val="minor"/>
    </font>
    <font>
      <u/>
      <sz val="18"/>
      <color rgb="FFB61E53"/>
      <name val="Cambria"/>
      <family val="1"/>
      <charset val="162"/>
      <scheme val="minor"/>
    </font>
    <font>
      <sz val="18"/>
      <color theme="8" tint="-0.499984740745262"/>
      <name val="Cambria"/>
      <family val="2"/>
      <scheme val="minor"/>
    </font>
    <font>
      <sz val="18"/>
      <color theme="1"/>
      <name val="Calibri"/>
      <family val="2"/>
      <charset val="162"/>
    </font>
    <font>
      <b/>
      <u/>
      <sz val="18"/>
      <color rgb="FFB61E53"/>
      <name val="Cambria"/>
      <family val="1"/>
      <charset val="162"/>
      <scheme val="minor"/>
    </font>
    <font>
      <b/>
      <sz val="18"/>
      <color theme="0"/>
      <name val="Cambria"/>
      <family val="1"/>
      <charset val="162"/>
      <scheme val="minor"/>
    </font>
    <font>
      <sz val="18"/>
      <color rgb="FFFF0000"/>
      <name val="Cambria"/>
      <family val="1"/>
      <charset val="162"/>
      <scheme val="minor"/>
    </font>
    <font>
      <sz val="18"/>
      <color theme="0" tint="-0.499984740745262"/>
      <name val="Cambria"/>
      <family val="2"/>
      <scheme val="minor"/>
    </font>
    <font>
      <u/>
      <sz val="18"/>
      <color theme="10"/>
      <name val="Cambria"/>
      <family val="2"/>
      <scheme val="minor"/>
    </font>
    <font>
      <sz val="18"/>
      <color theme="0"/>
      <name val="Cambria"/>
      <family val="1"/>
      <charset val="162"/>
      <scheme val="minor"/>
    </font>
    <font>
      <sz val="36"/>
      <color rgb="FFB61E53"/>
      <name val="Cambria"/>
      <family val="1"/>
      <charset val="162"/>
      <scheme val="minor"/>
    </font>
    <font>
      <b/>
      <sz val="48"/>
      <color rgb="FF0067A6"/>
      <name val="Cambria"/>
      <family val="1"/>
      <charset val="162"/>
      <scheme val="minor"/>
    </font>
    <font>
      <sz val="48"/>
      <color rgb="FF0067A6"/>
      <name val="Cambria"/>
      <family val="1"/>
      <charset val="162"/>
      <scheme val="minor"/>
    </font>
    <font>
      <sz val="20"/>
      <color theme="1"/>
      <name val="Cambria"/>
      <family val="1"/>
      <charset val="162"/>
      <scheme val="minor"/>
    </font>
    <font>
      <sz val="18"/>
      <name val="Leelawadee UI"/>
      <family val="2"/>
    </font>
    <font>
      <sz val="24"/>
      <color rgb="FFFF0000"/>
      <name val="Cambria"/>
      <family val="1"/>
      <charset val="162"/>
      <scheme val="minor"/>
    </font>
    <font>
      <b/>
      <sz val="48"/>
      <color rgb="FF0070C0"/>
      <name val="Cambria"/>
      <family val="1"/>
      <charset val="162"/>
      <scheme val="minor"/>
    </font>
    <font>
      <sz val="14"/>
      <color rgb="FFB61E53"/>
      <name val="Cambria"/>
      <family val="1"/>
      <charset val="162"/>
      <scheme val="minor"/>
    </font>
    <font>
      <sz val="14"/>
      <color rgb="FFFFFF00"/>
      <name val="Cambria"/>
      <family val="2"/>
      <scheme val="minor"/>
    </font>
    <font>
      <b/>
      <sz val="14"/>
      <name val="Cambria"/>
      <family val="1"/>
      <charset val="162"/>
      <scheme val="minor"/>
    </font>
    <font>
      <sz val="14"/>
      <color theme="8"/>
      <name val="Cambria"/>
      <family val="2"/>
      <scheme val="minor"/>
    </font>
    <font>
      <sz val="14"/>
      <color rgb="FFB61E53"/>
      <name val="Cambria"/>
      <family val="2"/>
      <scheme val="minor"/>
    </font>
    <font>
      <sz val="14"/>
      <color theme="1"/>
      <name val="Cambria"/>
      <family val="2"/>
      <scheme val="minor"/>
    </font>
    <font>
      <b/>
      <sz val="14"/>
      <color rgb="FF00927E"/>
      <name val="Cambria"/>
      <family val="1"/>
      <charset val="162"/>
      <scheme val="minor"/>
    </font>
    <font>
      <b/>
      <sz val="14"/>
      <color rgb="FFB61E53"/>
      <name val="Cambria"/>
      <family val="1"/>
      <charset val="162"/>
      <scheme val="minor"/>
    </font>
    <font>
      <b/>
      <sz val="14"/>
      <color theme="1" tint="0.249977111117893"/>
      <name val="Cambria"/>
      <family val="1"/>
      <charset val="162"/>
      <scheme val="minor"/>
    </font>
    <font>
      <sz val="14"/>
      <color theme="1" tint="0.249977111117893"/>
      <name val="Century Gothic"/>
      <family val="2"/>
    </font>
    <font>
      <sz val="14"/>
      <name val="Century Gothic"/>
      <family val="2"/>
    </font>
    <font>
      <sz val="14"/>
      <color theme="8" tint="-0.499984740745262"/>
      <name val="Cambria"/>
      <family val="2"/>
      <scheme val="minor"/>
    </font>
    <font>
      <b/>
      <u/>
      <sz val="14"/>
      <color rgb="FFB61E53"/>
      <name val="Cambria"/>
      <family val="1"/>
      <charset val="162"/>
      <scheme val="minor"/>
    </font>
    <font>
      <sz val="14"/>
      <color theme="0" tint="-0.499984740745262"/>
      <name val="Cambria"/>
      <family val="2"/>
      <scheme val="minor"/>
    </font>
    <font>
      <u/>
      <sz val="14"/>
      <color theme="10"/>
      <name val="Cambria"/>
      <family val="2"/>
      <scheme val="minor"/>
    </font>
    <font>
      <u/>
      <sz val="14"/>
      <color theme="1"/>
      <name val="Cambria"/>
      <family val="1"/>
      <charset val="162"/>
      <scheme val="minor"/>
    </font>
    <font>
      <sz val="48"/>
      <color rgb="FFB61E53"/>
      <name val="Cambria"/>
      <family val="1"/>
      <charset val="162"/>
      <scheme val="minor"/>
    </font>
    <font>
      <sz val="48"/>
      <color theme="8"/>
      <name val="Cambria"/>
      <family val="1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317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7" fillId="0" borderId="12" xfId="0" applyFont="1" applyBorder="1"/>
    <xf numFmtId="0" fontId="38" fillId="0" borderId="13" xfId="0" applyFont="1" applyBorder="1" applyAlignment="1">
      <alignment vertical="center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39" fillId="5" borderId="13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39" fillId="5" borderId="11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9" fillId="4" borderId="13" xfId="1" applyFont="1" applyFill="1" applyBorder="1" applyAlignment="1">
      <alignment horizontal="center" vertical="center" wrapText="1"/>
    </xf>
    <xf numFmtId="0" fontId="39" fillId="4" borderId="11" xfId="1" applyFont="1" applyFill="1" applyBorder="1" applyAlignment="1">
      <alignment horizontal="center" vertical="center" wrapText="1"/>
    </xf>
    <xf numFmtId="0" fontId="42" fillId="0" borderId="0" xfId="1" applyFont="1"/>
    <xf numFmtId="0" fontId="43" fillId="0" borderId="0" xfId="1" applyFont="1"/>
    <xf numFmtId="0" fontId="44" fillId="5" borderId="0" xfId="1" applyFont="1" applyFill="1" applyAlignment="1">
      <alignment vertical="center" wrapText="1"/>
    </xf>
    <xf numFmtId="0" fontId="42" fillId="5" borderId="0" xfId="1" applyFont="1" applyFill="1"/>
    <xf numFmtId="0" fontId="46" fillId="0" borderId="0" xfId="1" applyFont="1" applyFill="1" applyAlignment="1">
      <alignment horizontal="right"/>
    </xf>
    <xf numFmtId="0" fontId="43" fillId="5" borderId="0" xfId="1" applyFont="1" applyFill="1"/>
    <xf numFmtId="0" fontId="47" fillId="0" borderId="0" xfId="1" applyFont="1"/>
    <xf numFmtId="165" fontId="43" fillId="0" borderId="0" xfId="1" applyNumberFormat="1" applyFont="1" applyBorder="1" applyAlignment="1">
      <alignment vertical="center"/>
    </xf>
    <xf numFmtId="165" fontId="46" fillId="0" borderId="0" xfId="1" applyNumberFormat="1" applyFont="1" applyBorder="1" applyAlignment="1">
      <alignment vertical="center"/>
    </xf>
    <xf numFmtId="165" fontId="46" fillId="0" borderId="2" xfId="1" applyNumberFormat="1" applyFont="1" applyBorder="1" applyAlignment="1">
      <alignment horizontal="right" vertical="center"/>
    </xf>
    <xf numFmtId="165" fontId="42" fillId="0" borderId="0" xfId="1" applyNumberFormat="1" applyFont="1" applyBorder="1" applyAlignment="1">
      <alignment vertical="center"/>
    </xf>
    <xf numFmtId="0" fontId="48" fillId="0" borderId="3" xfId="0" applyFont="1" applyBorder="1"/>
    <xf numFmtId="0" fontId="49" fillId="0" borderId="10" xfId="2" applyFont="1" applyFill="1" applyBorder="1" applyAlignment="1">
      <alignment horizontal="center" vertical="center"/>
    </xf>
    <xf numFmtId="0" fontId="48" fillId="0" borderId="0" xfId="0" applyFont="1"/>
    <xf numFmtId="166" fontId="48" fillId="0" borderId="0" xfId="0" applyNumberFormat="1" applyFont="1"/>
    <xf numFmtId="164" fontId="50" fillId="4" borderId="3" xfId="1" applyNumberFormat="1" applyFont="1" applyFill="1" applyBorder="1" applyAlignment="1">
      <alignment horizontal="center" vertical="center" wrapText="1"/>
    </xf>
    <xf numFmtId="0" fontId="51" fillId="0" borderId="0" xfId="1" applyFont="1"/>
    <xf numFmtId="0" fontId="52" fillId="0" borderId="11" xfId="0" applyFont="1" applyBorder="1"/>
    <xf numFmtId="0" fontId="53" fillId="4" borderId="13" xfId="1" applyFont="1" applyFill="1" applyBorder="1" applyAlignment="1">
      <alignment horizontal="center" vertical="center" wrapText="1"/>
    </xf>
    <xf numFmtId="0" fontId="54" fillId="4" borderId="13" xfId="1" applyFont="1" applyFill="1" applyBorder="1" applyAlignment="1">
      <alignment horizontal="center" vertical="center" wrapText="1"/>
    </xf>
    <xf numFmtId="0" fontId="53" fillId="4" borderId="4" xfId="1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vertical="center" textRotation="90"/>
    </xf>
    <xf numFmtId="0" fontId="53" fillId="4" borderId="11" xfId="1" applyFont="1" applyFill="1" applyBorder="1" applyAlignment="1">
      <alignment horizontal="center" vertical="center" wrapText="1"/>
    </xf>
    <xf numFmtId="0" fontId="54" fillId="4" borderId="11" xfId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0" fontId="56" fillId="0" borderId="12" xfId="0" applyFont="1" applyBorder="1"/>
    <xf numFmtId="0" fontId="53" fillId="4" borderId="12" xfId="1" applyFont="1" applyFill="1" applyBorder="1" applyAlignment="1">
      <alignment horizontal="center" vertical="center" wrapText="1"/>
    </xf>
    <xf numFmtId="0" fontId="57" fillId="4" borderId="12" xfId="1" applyFont="1" applyFill="1" applyBorder="1" applyAlignment="1">
      <alignment horizontal="center" vertical="center" wrapText="1"/>
    </xf>
    <xf numFmtId="0" fontId="53" fillId="4" borderId="7" xfId="1" applyFont="1" applyFill="1" applyBorder="1" applyAlignment="1">
      <alignment horizontal="center" vertical="center" wrapText="1"/>
    </xf>
    <xf numFmtId="0" fontId="53" fillId="5" borderId="13" xfId="1" applyFont="1" applyFill="1" applyBorder="1" applyAlignment="1">
      <alignment horizontal="center" vertical="center" wrapText="1"/>
    </xf>
    <xf numFmtId="0" fontId="54" fillId="5" borderId="13" xfId="1" applyFont="1" applyFill="1" applyBorder="1" applyAlignment="1">
      <alignment horizontal="center" vertical="center" wrapText="1"/>
    </xf>
    <xf numFmtId="0" fontId="53" fillId="5" borderId="4" xfId="1" applyFont="1" applyFill="1" applyBorder="1" applyAlignment="1">
      <alignment horizontal="center" vertical="center" wrapText="1"/>
    </xf>
    <xf numFmtId="0" fontId="53" fillId="5" borderId="11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3" fillId="5" borderId="0" xfId="1" applyFont="1" applyFill="1" applyBorder="1" applyAlignment="1">
      <alignment horizontal="center" vertical="center" wrapText="1"/>
    </xf>
    <xf numFmtId="0" fontId="53" fillId="5" borderId="12" xfId="1" applyFont="1" applyFill="1" applyBorder="1" applyAlignment="1">
      <alignment horizontal="center" vertical="center" wrapText="1"/>
    </xf>
    <xf numFmtId="0" fontId="57" fillId="5" borderId="12" xfId="1" applyFont="1" applyFill="1" applyBorder="1" applyAlignment="1">
      <alignment horizontal="center" vertical="center" wrapText="1"/>
    </xf>
    <xf numFmtId="0" fontId="53" fillId="5" borderId="7" xfId="1" applyFont="1" applyFill="1" applyBorder="1" applyAlignment="1">
      <alignment horizontal="center" vertical="center" wrapText="1"/>
    </xf>
    <xf numFmtId="164" fontId="45" fillId="7" borderId="3" xfId="1" applyNumberFormat="1" applyFont="1" applyFill="1" applyBorder="1" applyAlignment="1">
      <alignment horizontal="left" vertical="top" wrapText="1"/>
    </xf>
    <xf numFmtId="164" fontId="45" fillId="7" borderId="9" xfId="1" applyNumberFormat="1" applyFont="1" applyFill="1" applyBorder="1" applyAlignment="1">
      <alignment horizontal="left" vertical="top" wrapText="1"/>
    </xf>
    <xf numFmtId="0" fontId="58" fillId="0" borderId="0" xfId="1" applyFont="1" applyAlignment="1">
      <alignment horizontal="right"/>
    </xf>
    <xf numFmtId="0" fontId="43" fillId="0" borderId="0" xfId="1" applyFont="1" applyAlignment="1">
      <alignment horizontal="right"/>
    </xf>
    <xf numFmtId="0" fontId="58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9" fillId="0" borderId="0" xfId="5" applyFont="1"/>
    <xf numFmtId="0" fontId="54" fillId="0" borderId="0" xfId="5" applyFont="1"/>
    <xf numFmtId="165" fontId="60" fillId="0" borderId="0" xfId="1" applyNumberFormat="1" applyFont="1" applyBorder="1" applyAlignment="1">
      <alignment vertical="center"/>
    </xf>
    <xf numFmtId="165" fontId="61" fillId="0" borderId="0" xfId="1" applyNumberFormat="1" applyFont="1" applyBorder="1" applyAlignment="1">
      <alignment vertical="center"/>
    </xf>
    <xf numFmtId="0" fontId="53" fillId="8" borderId="11" xfId="1" applyFont="1" applyFill="1" applyBorder="1" applyAlignment="1">
      <alignment horizontal="center" vertical="center" wrapText="1"/>
    </xf>
    <xf numFmtId="0" fontId="53" fillId="8" borderId="0" xfId="1" applyFont="1" applyFill="1" applyBorder="1" applyAlignment="1">
      <alignment horizontal="center" vertical="center" wrapText="1"/>
    </xf>
    <xf numFmtId="165" fontId="63" fillId="0" borderId="0" xfId="1" applyNumberFormat="1" applyFont="1" applyBorder="1" applyAlignment="1">
      <alignment vertical="center"/>
    </xf>
    <xf numFmtId="165" fontId="66" fillId="0" borderId="0" xfId="1" applyNumberFormat="1" applyFont="1" applyBorder="1" applyAlignment="1">
      <alignment vertical="center"/>
    </xf>
    <xf numFmtId="0" fontId="33" fillId="0" borderId="0" xfId="1" applyFont="1"/>
    <xf numFmtId="0" fontId="67" fillId="0" borderId="0" xfId="1" applyFont="1"/>
    <xf numFmtId="0" fontId="68" fillId="0" borderId="0" xfId="1" applyFont="1"/>
    <xf numFmtId="0" fontId="69" fillId="5" borderId="0" xfId="1" applyFont="1" applyFill="1" applyAlignment="1">
      <alignment vertical="center" wrapText="1"/>
    </xf>
    <xf numFmtId="0" fontId="67" fillId="5" borderId="0" xfId="1" applyFont="1" applyFill="1"/>
    <xf numFmtId="0" fontId="71" fillId="0" borderId="0" xfId="1" applyFont="1" applyFill="1" applyAlignment="1">
      <alignment horizontal="right"/>
    </xf>
    <xf numFmtId="0" fontId="68" fillId="5" borderId="0" xfId="1" applyFont="1" applyFill="1"/>
    <xf numFmtId="0" fontId="72" fillId="0" borderId="0" xfId="1" applyFont="1"/>
    <xf numFmtId="165" fontId="68" fillId="0" borderId="0" xfId="1" applyNumberFormat="1" applyFont="1" applyBorder="1" applyAlignment="1">
      <alignment vertical="center"/>
    </xf>
    <xf numFmtId="165" fontId="73" fillId="0" borderId="0" xfId="1" applyNumberFormat="1" applyFont="1" applyBorder="1" applyAlignment="1">
      <alignment vertical="center"/>
    </xf>
    <xf numFmtId="165" fontId="71" fillId="0" borderId="0" xfId="1" applyNumberFormat="1" applyFont="1" applyBorder="1" applyAlignment="1">
      <alignment vertical="center"/>
    </xf>
    <xf numFmtId="165" fontId="71" fillId="0" borderId="2" xfId="1" applyNumberFormat="1" applyFont="1" applyBorder="1" applyAlignment="1">
      <alignment horizontal="right" vertical="center"/>
    </xf>
    <xf numFmtId="165" fontId="67" fillId="0" borderId="0" xfId="1" applyNumberFormat="1" applyFont="1" applyBorder="1" applyAlignment="1">
      <alignment vertical="center"/>
    </xf>
    <xf numFmtId="0" fontId="74" fillId="0" borderId="3" xfId="0" applyFont="1" applyBorder="1"/>
    <xf numFmtId="0" fontId="75" fillId="0" borderId="9" xfId="2" applyFont="1" applyFill="1" applyBorder="1" applyAlignment="1">
      <alignment horizontal="center" vertical="center"/>
    </xf>
    <xf numFmtId="0" fontId="76" fillId="0" borderId="10" xfId="2" applyFont="1" applyFill="1" applyBorder="1" applyAlignment="1">
      <alignment horizontal="center" vertical="center"/>
    </xf>
    <xf numFmtId="0" fontId="74" fillId="0" borderId="0" xfId="0" applyFont="1"/>
    <xf numFmtId="166" fontId="74" fillId="0" borderId="0" xfId="0" applyNumberFormat="1" applyFont="1"/>
    <xf numFmtId="0" fontId="77" fillId="0" borderId="0" xfId="0" applyFont="1" applyAlignment="1">
      <alignment vertical="center"/>
    </xf>
    <xf numFmtId="0" fontId="77" fillId="0" borderId="13" xfId="0" applyFont="1" applyBorder="1" applyAlignment="1">
      <alignment vertical="center"/>
    </xf>
    <xf numFmtId="164" fontId="78" fillId="7" borderId="3" xfId="1" applyNumberFormat="1" applyFont="1" applyFill="1" applyBorder="1" applyAlignment="1">
      <alignment horizontal="left" vertical="center" wrapText="1"/>
    </xf>
    <xf numFmtId="164" fontId="79" fillId="4" borderId="3" xfId="1" applyNumberFormat="1" applyFont="1" applyFill="1" applyBorder="1" applyAlignment="1">
      <alignment horizontal="center" vertical="center" wrapText="1"/>
    </xf>
    <xf numFmtId="164" fontId="78" fillId="7" borderId="9" xfId="1" applyNumberFormat="1" applyFont="1" applyFill="1" applyBorder="1" applyAlignment="1">
      <alignment horizontal="left" vertical="center" wrapText="1"/>
    </xf>
    <xf numFmtId="166" fontId="77" fillId="0" borderId="0" xfId="0" applyNumberFormat="1" applyFont="1" applyFill="1" applyBorder="1" applyAlignment="1">
      <alignment vertical="center" textRotation="90"/>
    </xf>
    <xf numFmtId="0" fontId="80" fillId="0" borderId="0" xfId="1" applyFont="1" applyAlignment="1">
      <alignment vertical="center"/>
    </xf>
    <xf numFmtId="0" fontId="77" fillId="0" borderId="0" xfId="1" applyFont="1" applyAlignment="1">
      <alignment vertical="center"/>
    </xf>
    <xf numFmtId="0" fontId="81" fillId="0" borderId="0" xfId="1" applyFont="1"/>
    <xf numFmtId="0" fontId="82" fillId="0" borderId="11" xfId="0" applyFont="1" applyBorder="1"/>
    <xf numFmtId="0" fontId="83" fillId="4" borderId="13" xfId="1" applyFont="1" applyFill="1" applyBorder="1" applyAlignment="1">
      <alignment horizontal="center" vertical="center" wrapText="1"/>
    </xf>
    <xf numFmtId="0" fontId="84" fillId="4" borderId="13" xfId="1" applyFont="1" applyFill="1" applyBorder="1" applyAlignment="1">
      <alignment horizontal="center" vertical="center" wrapText="1"/>
    </xf>
    <xf numFmtId="0" fontId="83" fillId="4" borderId="4" xfId="1" applyFont="1" applyFill="1" applyBorder="1" applyAlignment="1">
      <alignment horizontal="center" vertical="center" wrapText="1"/>
    </xf>
    <xf numFmtId="166" fontId="85" fillId="0" borderId="0" xfId="0" applyNumberFormat="1" applyFont="1" applyFill="1" applyBorder="1" applyAlignment="1">
      <alignment vertical="center" textRotation="90"/>
    </xf>
    <xf numFmtId="0" fontId="83" fillId="4" borderId="11" xfId="1" applyFont="1" applyFill="1" applyBorder="1" applyAlignment="1">
      <alignment horizontal="center" vertical="center" wrapText="1"/>
    </xf>
    <xf numFmtId="0" fontId="84" fillId="4" borderId="11" xfId="1" applyFont="1" applyFill="1" applyBorder="1" applyAlignment="1">
      <alignment horizontal="center" vertical="center" wrapText="1"/>
    </xf>
    <xf numFmtId="0" fontId="83" fillId="4" borderId="0" xfId="1" applyFont="1" applyFill="1" applyBorder="1" applyAlignment="1">
      <alignment horizontal="center" vertical="center" wrapText="1"/>
    </xf>
    <xf numFmtId="0" fontId="86" fillId="0" borderId="12" xfId="0" applyFont="1" applyBorder="1"/>
    <xf numFmtId="0" fontId="83" fillId="4" borderId="12" xfId="1" applyFont="1" applyFill="1" applyBorder="1" applyAlignment="1">
      <alignment horizontal="center" vertical="center" wrapText="1"/>
    </xf>
    <xf numFmtId="0" fontId="87" fillId="4" borderId="12" xfId="1" applyFont="1" applyFill="1" applyBorder="1" applyAlignment="1">
      <alignment horizontal="center" vertical="center" wrapText="1"/>
    </xf>
    <xf numFmtId="0" fontId="83" fillId="4" borderId="7" xfId="1" applyFont="1" applyFill="1" applyBorder="1" applyAlignment="1">
      <alignment horizontal="center" vertical="center" wrapText="1"/>
    </xf>
    <xf numFmtId="0" fontId="83" fillId="5" borderId="13" xfId="1" applyFont="1" applyFill="1" applyBorder="1" applyAlignment="1">
      <alignment horizontal="center" vertical="center" wrapText="1"/>
    </xf>
    <xf numFmtId="0" fontId="84" fillId="5" borderId="13" xfId="1" applyFont="1" applyFill="1" applyBorder="1" applyAlignment="1">
      <alignment horizontal="center" vertical="center" wrapText="1"/>
    </xf>
    <xf numFmtId="0" fontId="83" fillId="5" borderId="4" xfId="1" applyFont="1" applyFill="1" applyBorder="1" applyAlignment="1">
      <alignment horizontal="center" vertical="center" wrapText="1"/>
    </xf>
    <xf numFmtId="0" fontId="83" fillId="5" borderId="11" xfId="1" applyFont="1" applyFill="1" applyBorder="1" applyAlignment="1">
      <alignment horizontal="center" vertical="center" wrapText="1"/>
    </xf>
    <xf numFmtId="0" fontId="84" fillId="5" borderId="11" xfId="1" applyFont="1" applyFill="1" applyBorder="1" applyAlignment="1">
      <alignment horizontal="center" vertical="center" wrapText="1"/>
    </xf>
    <xf numFmtId="0" fontId="83" fillId="5" borderId="0" xfId="1" applyFont="1" applyFill="1" applyBorder="1" applyAlignment="1">
      <alignment horizontal="center" vertical="center" wrapText="1"/>
    </xf>
    <xf numFmtId="0" fontId="83" fillId="5" borderId="12" xfId="1" applyFont="1" applyFill="1" applyBorder="1" applyAlignment="1">
      <alignment horizontal="center" vertical="center" wrapText="1"/>
    </xf>
    <xf numFmtId="0" fontId="87" fillId="5" borderId="12" xfId="1" applyFont="1" applyFill="1" applyBorder="1" applyAlignment="1">
      <alignment horizontal="center" vertical="center" wrapText="1"/>
    </xf>
    <xf numFmtId="0" fontId="83" fillId="5" borderId="7" xfId="1" applyFont="1" applyFill="1" applyBorder="1" applyAlignment="1">
      <alignment horizontal="center" vertical="center" wrapText="1"/>
    </xf>
    <xf numFmtId="164" fontId="88" fillId="9" borderId="9" xfId="1" applyNumberFormat="1" applyFont="1" applyFill="1" applyBorder="1" applyAlignment="1">
      <alignment horizontal="left" vertical="center" wrapText="1"/>
    </xf>
    <xf numFmtId="0" fontId="83" fillId="9" borderId="0" xfId="1" applyFont="1" applyFill="1" applyBorder="1" applyAlignment="1">
      <alignment horizontal="center" vertical="center" wrapText="1"/>
    </xf>
    <xf numFmtId="164" fontId="70" fillId="7" borderId="3" xfId="1" applyNumberFormat="1" applyFont="1" applyFill="1" applyBorder="1" applyAlignment="1">
      <alignment horizontal="left" vertical="top" wrapText="1"/>
    </xf>
    <xf numFmtId="164" fontId="70" fillId="7" borderId="9" xfId="1" applyNumberFormat="1" applyFont="1" applyFill="1" applyBorder="1" applyAlignment="1">
      <alignment horizontal="left" vertical="top" wrapText="1"/>
    </xf>
    <xf numFmtId="0" fontId="90" fillId="0" borderId="0" xfId="1" applyFont="1" applyAlignment="1">
      <alignment horizontal="right"/>
    </xf>
    <xf numFmtId="0" fontId="68" fillId="0" borderId="0" xfId="1" applyFont="1" applyAlignment="1">
      <alignment horizontal="right"/>
    </xf>
    <xf numFmtId="0" fontId="90" fillId="0" borderId="0" xfId="1" applyFont="1" applyAlignment="1">
      <alignment horizontal="center"/>
    </xf>
    <xf numFmtId="0" fontId="68" fillId="0" borderId="0" xfId="1" applyFont="1" applyAlignment="1">
      <alignment horizontal="center"/>
    </xf>
    <xf numFmtId="0" fontId="91" fillId="0" borderId="0" xfId="5" applyFont="1"/>
    <xf numFmtId="0" fontId="84" fillId="0" borderId="0" xfId="5" applyFont="1"/>
    <xf numFmtId="0" fontId="92" fillId="9" borderId="4" xfId="1" applyFont="1" applyFill="1" applyBorder="1" applyAlignment="1">
      <alignment horizontal="center" vertical="center" wrapText="1"/>
    </xf>
    <xf numFmtId="0" fontId="92" fillId="9" borderId="0" xfId="1" applyFont="1" applyFill="1" applyBorder="1" applyAlignment="1">
      <alignment horizontal="center" vertical="center" wrapText="1"/>
    </xf>
    <xf numFmtId="165" fontId="93" fillId="0" borderId="0" xfId="1" applyNumberFormat="1" applyFont="1" applyBorder="1" applyAlignment="1">
      <alignment vertical="center"/>
    </xf>
    <xf numFmtId="0" fontId="83" fillId="5" borderId="0" xfId="1" quotePrefix="1" applyFont="1" applyFill="1" applyBorder="1" applyAlignment="1">
      <alignment horizontal="center" vertical="center" wrapText="1"/>
    </xf>
    <xf numFmtId="165" fontId="94" fillId="0" borderId="0" xfId="1" applyNumberFormat="1" applyFont="1" applyBorder="1" applyAlignment="1">
      <alignment vertical="center"/>
    </xf>
    <xf numFmtId="165" fontId="95" fillId="0" borderId="0" xfId="1" applyNumberFormat="1" applyFont="1" applyBorder="1" applyAlignment="1">
      <alignment vertical="center"/>
    </xf>
    <xf numFmtId="0" fontId="83" fillId="10" borderId="13" xfId="1" applyFont="1" applyFill="1" applyBorder="1" applyAlignment="1">
      <alignment horizontal="center" vertical="center" wrapText="1"/>
    </xf>
    <xf numFmtId="0" fontId="83" fillId="10" borderId="11" xfId="1" applyFont="1" applyFill="1" applyBorder="1" applyAlignment="1">
      <alignment horizontal="center" vertical="center" wrapText="1"/>
    </xf>
    <xf numFmtId="0" fontId="83" fillId="10" borderId="4" xfId="1" applyFont="1" applyFill="1" applyBorder="1" applyAlignment="1">
      <alignment horizontal="center" vertical="center" wrapText="1"/>
    </xf>
    <xf numFmtId="0" fontId="83" fillId="10" borderId="0" xfId="1" applyFont="1" applyFill="1" applyBorder="1" applyAlignment="1">
      <alignment horizontal="center" vertical="center" wrapText="1"/>
    </xf>
    <xf numFmtId="0" fontId="96" fillId="4" borderId="4" xfId="1" applyFont="1" applyFill="1" applyBorder="1" applyAlignment="1">
      <alignment horizontal="center" vertical="center" wrapText="1"/>
    </xf>
    <xf numFmtId="0" fontId="96" fillId="4" borderId="0" xfId="1" applyFont="1" applyFill="1" applyBorder="1" applyAlignment="1">
      <alignment horizontal="center" vertical="center" wrapText="1"/>
    </xf>
    <xf numFmtId="0" fontId="97" fillId="0" borderId="0" xfId="1" applyFont="1" applyAlignment="1">
      <alignment horizontal="center" vertical="center"/>
    </xf>
    <xf numFmtId="165" fontId="99" fillId="0" borderId="0" xfId="1" applyNumberFormat="1" applyFont="1" applyBorder="1" applyAlignment="1">
      <alignment vertical="center"/>
    </xf>
    <xf numFmtId="0" fontId="18" fillId="0" borderId="0" xfId="1" applyFont="1"/>
    <xf numFmtId="0" fontId="100" fillId="0" borderId="0" xfId="1" applyFont="1"/>
    <xf numFmtId="0" fontId="101" fillId="5" borderId="0" xfId="1" applyFont="1" applyFill="1" applyAlignment="1">
      <alignment vertical="center" wrapText="1"/>
    </xf>
    <xf numFmtId="0" fontId="18" fillId="5" borderId="0" xfId="1" applyFont="1" applyFill="1"/>
    <xf numFmtId="0" fontId="103" fillId="0" borderId="0" xfId="1" applyFont="1" applyFill="1" applyAlignment="1">
      <alignment horizontal="right"/>
    </xf>
    <xf numFmtId="0" fontId="100" fillId="5" borderId="0" xfId="1" applyFont="1" applyFill="1"/>
    <xf numFmtId="0" fontId="104" fillId="0" borderId="0" xfId="1" applyFont="1"/>
    <xf numFmtId="165" fontId="100" fillId="0" borderId="0" xfId="1" applyNumberFormat="1" applyFont="1" applyBorder="1" applyAlignment="1">
      <alignment vertical="center"/>
    </xf>
    <xf numFmtId="165" fontId="103" fillId="0" borderId="0" xfId="1" applyNumberFormat="1" applyFont="1" applyBorder="1" applyAlignment="1">
      <alignment vertical="center"/>
    </xf>
    <xf numFmtId="165" fontId="103" fillId="0" borderId="2" xfId="1" applyNumberFormat="1" applyFont="1" applyBorder="1" applyAlignment="1">
      <alignment horizontal="right" vertical="center"/>
    </xf>
    <xf numFmtId="165" fontId="18" fillId="0" borderId="0" xfId="1" applyNumberFormat="1" applyFont="1" applyBorder="1" applyAlignment="1">
      <alignment vertical="center"/>
    </xf>
    <xf numFmtId="0" fontId="105" fillId="0" borderId="3" xfId="0" applyFont="1" applyBorder="1"/>
    <xf numFmtId="0" fontId="106" fillId="0" borderId="9" xfId="2" applyFont="1" applyFill="1" applyBorder="1" applyAlignment="1">
      <alignment horizontal="center" vertical="center"/>
    </xf>
    <xf numFmtId="0" fontId="107" fillId="0" borderId="10" xfId="2" applyFont="1" applyFill="1" applyBorder="1" applyAlignment="1">
      <alignment horizontal="center" vertical="center"/>
    </xf>
    <xf numFmtId="0" fontId="105" fillId="0" borderId="0" xfId="0" applyFont="1"/>
    <xf numFmtId="166" fontId="105" fillId="0" borderId="0" xfId="0" applyNumberFormat="1" applyFont="1"/>
    <xf numFmtId="0" fontId="38" fillId="0" borderId="0" xfId="0" applyFont="1" applyAlignment="1">
      <alignment vertical="center"/>
    </xf>
    <xf numFmtId="164" fontId="108" fillId="7" borderId="3" xfId="1" applyNumberFormat="1" applyFont="1" applyFill="1" applyBorder="1" applyAlignment="1">
      <alignment horizontal="left" vertical="center" wrapText="1"/>
    </xf>
    <xf numFmtId="164" fontId="36" fillId="4" borderId="3" xfId="1" applyNumberFormat="1" applyFont="1" applyFill="1" applyBorder="1" applyAlignment="1">
      <alignment horizontal="center" vertical="center" wrapText="1"/>
    </xf>
    <xf numFmtId="164" fontId="108" fillId="7" borderId="9" xfId="1" applyNumberFormat="1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vertical="center" textRotation="90"/>
    </xf>
    <xf numFmtId="0" fontId="109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110" fillId="0" borderId="0" xfId="1" applyFont="1"/>
    <xf numFmtId="166" fontId="111" fillId="0" borderId="0" xfId="0" applyNumberFormat="1" applyFont="1" applyFill="1" applyBorder="1" applyAlignment="1">
      <alignment vertical="center" textRotation="90"/>
    </xf>
    <xf numFmtId="0" fontId="39" fillId="4" borderId="0" xfId="1" applyFont="1" applyFill="1" applyBorder="1" applyAlignment="1">
      <alignment horizontal="center" vertical="center" wrapText="1"/>
    </xf>
    <xf numFmtId="0" fontId="39" fillId="4" borderId="12" xfId="1" applyFont="1" applyFill="1" applyBorder="1" applyAlignment="1">
      <alignment horizontal="center" vertical="center" wrapText="1"/>
    </xf>
    <xf numFmtId="0" fontId="112" fillId="4" borderId="12" xfId="1" applyFont="1" applyFill="1" applyBorder="1" applyAlignment="1">
      <alignment horizontal="center" vertical="center" wrapText="1"/>
    </xf>
    <xf numFmtId="0" fontId="39" fillId="4" borderId="7" xfId="1" applyFont="1" applyFill="1" applyBorder="1" applyAlignment="1">
      <alignment horizontal="center" vertical="center" wrapText="1"/>
    </xf>
    <xf numFmtId="0" fontId="39" fillId="5" borderId="0" xfId="1" applyFont="1" applyFill="1" applyBorder="1" applyAlignment="1">
      <alignment horizontal="center" vertical="center" wrapText="1"/>
    </xf>
    <xf numFmtId="0" fontId="39" fillId="5" borderId="12" xfId="1" applyFont="1" applyFill="1" applyBorder="1" applyAlignment="1">
      <alignment horizontal="center" vertical="center" wrapText="1"/>
    </xf>
    <xf numFmtId="0" fontId="112" fillId="5" borderId="12" xfId="1" applyFont="1" applyFill="1" applyBorder="1" applyAlignment="1">
      <alignment horizontal="center" vertical="center" wrapText="1"/>
    </xf>
    <xf numFmtId="0" fontId="39" fillId="5" borderId="7" xfId="1" applyFont="1" applyFill="1" applyBorder="1" applyAlignment="1">
      <alignment horizontal="center" vertical="center" wrapText="1"/>
    </xf>
    <xf numFmtId="164" fontId="102" fillId="7" borderId="3" xfId="1" applyNumberFormat="1" applyFont="1" applyFill="1" applyBorder="1" applyAlignment="1">
      <alignment horizontal="left" vertical="top" wrapText="1"/>
    </xf>
    <xf numFmtId="164" fontId="102" fillId="7" borderId="9" xfId="1" applyNumberFormat="1" applyFont="1" applyFill="1" applyBorder="1" applyAlignment="1">
      <alignment horizontal="left" vertical="top" wrapText="1"/>
    </xf>
    <xf numFmtId="0" fontId="113" fillId="0" borderId="0" xfId="1" applyFont="1" applyAlignment="1">
      <alignment horizontal="right"/>
    </xf>
    <xf numFmtId="0" fontId="100" fillId="0" borderId="0" xfId="1" applyFont="1" applyAlignment="1">
      <alignment horizontal="right"/>
    </xf>
    <xf numFmtId="0" fontId="113" fillId="0" borderId="0" xfId="1" applyFont="1" applyAlignment="1">
      <alignment horizontal="center"/>
    </xf>
    <xf numFmtId="0" fontId="100" fillId="0" borderId="0" xfId="1" applyFont="1" applyAlignment="1">
      <alignment horizontal="center"/>
    </xf>
    <xf numFmtId="0" fontId="114" fillId="0" borderId="0" xfId="5" applyFont="1"/>
    <xf numFmtId="0" fontId="40" fillId="0" borderId="0" xfId="5" applyFont="1"/>
    <xf numFmtId="0" fontId="115" fillId="4" borderId="4" xfId="1" applyFont="1" applyFill="1" applyBorder="1" applyAlignment="1">
      <alignment horizontal="center" vertical="center" wrapText="1"/>
    </xf>
    <xf numFmtId="165" fontId="116" fillId="0" borderId="0" xfId="1" applyNumberFormat="1" applyFont="1" applyBorder="1" applyAlignment="1">
      <alignment vertical="center"/>
    </xf>
    <xf numFmtId="165" fontId="117" fillId="0" borderId="0" xfId="1" applyNumberFormat="1" applyFont="1" applyBorder="1" applyAlignment="1">
      <alignment vertical="center"/>
    </xf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53" fillId="5" borderId="14" xfId="1" applyFont="1" applyFill="1" applyBorder="1" applyAlignment="1">
      <alignment horizontal="left" vertical="top" wrapText="1"/>
    </xf>
    <xf numFmtId="0" fontId="53" fillId="5" borderId="4" xfId="1" applyFont="1" applyFill="1" applyBorder="1" applyAlignment="1">
      <alignment horizontal="left" vertical="top" wrapText="1"/>
    </xf>
    <xf numFmtId="0" fontId="53" fillId="5" borderId="5" xfId="1" applyFont="1" applyFill="1" applyBorder="1" applyAlignment="1">
      <alignment horizontal="left" vertical="top" wrapText="1"/>
    </xf>
    <xf numFmtId="0" fontId="53" fillId="5" borderId="15" xfId="1" applyFont="1" applyFill="1" applyBorder="1" applyAlignment="1">
      <alignment horizontal="left" vertical="top" wrapText="1"/>
    </xf>
    <xf numFmtId="0" fontId="53" fillId="5" borderId="0" xfId="1" applyFont="1" applyFill="1" applyBorder="1" applyAlignment="1">
      <alignment horizontal="left" vertical="top" wrapText="1"/>
    </xf>
    <xf numFmtId="0" fontId="53" fillId="5" borderId="6" xfId="1" applyFont="1" applyFill="1" applyBorder="1" applyAlignment="1">
      <alignment horizontal="left" vertical="top" wrapText="1"/>
    </xf>
    <xf numFmtId="0" fontId="53" fillId="5" borderId="16" xfId="1" applyFont="1" applyFill="1" applyBorder="1" applyAlignment="1">
      <alignment horizontal="left" vertical="top" wrapText="1"/>
    </xf>
    <xf numFmtId="0" fontId="53" fillId="5" borderId="7" xfId="1" applyFont="1" applyFill="1" applyBorder="1" applyAlignment="1">
      <alignment horizontal="left" vertical="top" wrapText="1"/>
    </xf>
    <xf numFmtId="0" fontId="53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165" fontId="42" fillId="0" borderId="2" xfId="1" applyNumberFormat="1" applyFont="1" applyBorder="1" applyAlignment="1">
      <alignment horizontal="right" vertical="center"/>
    </xf>
    <xf numFmtId="0" fontId="64" fillId="5" borderId="14" xfId="1" applyFont="1" applyFill="1" applyBorder="1" applyAlignment="1">
      <alignment horizontal="left" vertical="top" wrapText="1"/>
    </xf>
    <xf numFmtId="0" fontId="65" fillId="5" borderId="4" xfId="1" applyFont="1" applyFill="1" applyBorder="1" applyAlignment="1">
      <alignment horizontal="left" vertical="top" wrapText="1"/>
    </xf>
    <xf numFmtId="0" fontId="65" fillId="5" borderId="5" xfId="1" applyFont="1" applyFill="1" applyBorder="1" applyAlignment="1">
      <alignment horizontal="left" vertical="top" wrapText="1"/>
    </xf>
    <xf numFmtId="0" fontId="65" fillId="5" borderId="15" xfId="1" applyFont="1" applyFill="1" applyBorder="1" applyAlignment="1">
      <alignment horizontal="left" vertical="top" wrapText="1"/>
    </xf>
    <xf numFmtId="0" fontId="65" fillId="5" borderId="0" xfId="1" applyFont="1" applyFill="1" applyBorder="1" applyAlignment="1">
      <alignment horizontal="left" vertical="top" wrapText="1"/>
    </xf>
    <xf numFmtId="0" fontId="65" fillId="5" borderId="6" xfId="1" applyFont="1" applyFill="1" applyBorder="1" applyAlignment="1">
      <alignment horizontal="left" vertical="top" wrapText="1"/>
    </xf>
    <xf numFmtId="0" fontId="65" fillId="5" borderId="16" xfId="1" applyFont="1" applyFill="1" applyBorder="1" applyAlignment="1">
      <alignment horizontal="left" vertical="top" wrapText="1"/>
    </xf>
    <xf numFmtId="0" fontId="65" fillId="5" borderId="7" xfId="1" applyFont="1" applyFill="1" applyBorder="1" applyAlignment="1">
      <alignment horizontal="left" vertical="top" wrapText="1"/>
    </xf>
    <xf numFmtId="0" fontId="65" fillId="5" borderId="8" xfId="1" applyFont="1" applyFill="1" applyBorder="1" applyAlignment="1">
      <alignment horizontal="left" vertical="top" wrapText="1"/>
    </xf>
    <xf numFmtId="0" fontId="50" fillId="0" borderId="0" xfId="1" applyFont="1" applyAlignment="1">
      <alignment horizontal="center" vertical="center"/>
    </xf>
    <xf numFmtId="0" fontId="42" fillId="0" borderId="4" xfId="1" applyFont="1" applyBorder="1" applyAlignment="1">
      <alignment horizontal="center" vertical="center"/>
    </xf>
    <xf numFmtId="0" fontId="45" fillId="5" borderId="0" xfId="1" applyFont="1" applyFill="1" applyAlignment="1">
      <alignment horizontal="left"/>
    </xf>
    <xf numFmtId="0" fontId="45" fillId="5" borderId="0" xfId="1" applyFont="1" applyFill="1" applyAlignment="1">
      <alignment horizontal="right"/>
    </xf>
    <xf numFmtId="165" fontId="60" fillId="0" borderId="7" xfId="1" applyNumberFormat="1" applyFont="1" applyBorder="1" applyAlignment="1">
      <alignment horizontal="right" vertical="center"/>
    </xf>
    <xf numFmtId="0" fontId="79" fillId="0" borderId="0" xfId="1" applyFont="1" applyAlignment="1">
      <alignment horizontal="center" vertical="center"/>
    </xf>
    <xf numFmtId="0" fontId="70" fillId="5" borderId="0" xfId="1" applyFont="1" applyFill="1" applyAlignment="1">
      <alignment horizontal="right"/>
    </xf>
    <xf numFmtId="165" fontId="67" fillId="0" borderId="2" xfId="1" applyNumberFormat="1" applyFont="1" applyBorder="1" applyAlignment="1">
      <alignment horizontal="right" vertical="center"/>
    </xf>
    <xf numFmtId="0" fontId="89" fillId="5" borderId="14" xfId="1" applyFont="1" applyFill="1" applyBorder="1" applyAlignment="1">
      <alignment horizontal="left" vertical="top" wrapText="1"/>
    </xf>
    <xf numFmtId="0" fontId="83" fillId="5" borderId="4" xfId="1" applyFont="1" applyFill="1" applyBorder="1" applyAlignment="1">
      <alignment horizontal="left" vertical="top" wrapText="1"/>
    </xf>
    <xf numFmtId="0" fontId="83" fillId="5" borderId="5" xfId="1" applyFont="1" applyFill="1" applyBorder="1" applyAlignment="1">
      <alignment horizontal="left" vertical="top" wrapText="1"/>
    </xf>
    <xf numFmtId="0" fontId="83" fillId="5" borderId="15" xfId="1" applyFont="1" applyFill="1" applyBorder="1" applyAlignment="1">
      <alignment horizontal="left" vertical="top" wrapText="1"/>
    </xf>
    <xf numFmtId="0" fontId="83" fillId="5" borderId="0" xfId="1" applyFont="1" applyFill="1" applyBorder="1" applyAlignment="1">
      <alignment horizontal="left" vertical="top" wrapText="1"/>
    </xf>
    <xf numFmtId="0" fontId="83" fillId="5" borderId="6" xfId="1" applyFont="1" applyFill="1" applyBorder="1" applyAlignment="1">
      <alignment horizontal="left" vertical="top" wrapText="1"/>
    </xf>
    <xf numFmtId="0" fontId="83" fillId="5" borderId="16" xfId="1" applyFont="1" applyFill="1" applyBorder="1" applyAlignment="1">
      <alignment horizontal="left" vertical="top" wrapText="1"/>
    </xf>
    <xf numFmtId="0" fontId="83" fillId="5" borderId="7" xfId="1" applyFont="1" applyFill="1" applyBorder="1" applyAlignment="1">
      <alignment horizontal="left" vertical="top" wrapText="1"/>
    </xf>
    <xf numFmtId="0" fontId="83" fillId="5" borderId="8" xfId="1" applyFont="1" applyFill="1" applyBorder="1" applyAlignment="1">
      <alignment horizontal="left" vertical="top" wrapText="1"/>
    </xf>
    <xf numFmtId="0" fontId="70" fillId="5" borderId="0" xfId="1" applyFont="1" applyFill="1" applyAlignment="1">
      <alignment horizontal="left"/>
    </xf>
    <xf numFmtId="0" fontId="67" fillId="0" borderId="0" xfId="1" applyFont="1" applyAlignment="1">
      <alignment horizontal="center" vertical="center"/>
    </xf>
    <xf numFmtId="165" fontId="94" fillId="0" borderId="7" xfId="1" applyNumberFormat="1" applyFont="1" applyBorder="1" applyAlignment="1">
      <alignment horizontal="right" vertical="center"/>
    </xf>
    <xf numFmtId="0" fontId="98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22" fillId="5" borderId="14" xfId="1" applyFont="1" applyFill="1" applyBorder="1" applyAlignment="1">
      <alignment horizontal="left" vertical="top" wrapText="1"/>
    </xf>
    <xf numFmtId="165" fontId="99" fillId="0" borderId="7" xfId="1" applyNumberFormat="1" applyFont="1" applyBorder="1" applyAlignment="1">
      <alignment horizontal="right" vertical="center"/>
    </xf>
    <xf numFmtId="0" fontId="102" fillId="5" borderId="0" xfId="1" applyFont="1" applyFill="1" applyAlignment="1">
      <alignment horizontal="right"/>
    </xf>
    <xf numFmtId="165" fontId="18" fillId="0" borderId="2" xfId="1" applyNumberFormat="1" applyFont="1" applyBorder="1" applyAlignment="1">
      <alignment horizontal="right" vertical="center"/>
    </xf>
    <xf numFmtId="0" fontId="39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Border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102" fillId="5" borderId="0" xfId="1" applyFont="1" applyFill="1" applyAlignment="1">
      <alignment horizontal="left"/>
    </xf>
    <xf numFmtId="0" fontId="41" fillId="5" borderId="14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42" fillId="0" borderId="0" xfId="1" applyFont="1" applyAlignment="1">
      <alignment horizontal="center" vertical="center"/>
    </xf>
    <xf numFmtId="0" fontId="62" fillId="5" borderId="14" xfId="1" applyFont="1" applyFill="1" applyBorder="1" applyAlignment="1">
      <alignment horizontal="left" vertical="top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0067A6"/>
      <color rgb="FFF9A23B"/>
      <color rgb="FF00927E"/>
      <color rgb="FF3473B8"/>
      <color rgb="FF002F8E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253906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12700</xdr:colOff>
      <xdr:row>0</xdr:row>
      <xdr:rowOff>280646</xdr:rowOff>
    </xdr:from>
    <xdr:to>
      <xdr:col>16</xdr:col>
      <xdr:colOff>504645</xdr:colOff>
      <xdr:row>5</xdr:row>
      <xdr:rowOff>586692</xdr:rowOff>
    </xdr:to>
    <xdr:pic>
      <xdr:nvPicPr>
        <xdr:cNvPr id="6" name="Picture 5" descr="TED ÇORUM KOLEJİ – 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280646"/>
          <a:ext cx="57497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097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1028700</xdr:colOff>
      <xdr:row>0</xdr:row>
      <xdr:rowOff>254000</xdr:rowOff>
    </xdr:from>
    <xdr:to>
      <xdr:col>16</xdr:col>
      <xdr:colOff>199845</xdr:colOff>
      <xdr:row>5</xdr:row>
      <xdr:rowOff>560046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54000"/>
          <a:ext cx="44289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174445</xdr:colOff>
      <xdr:row>0</xdr:row>
      <xdr:rowOff>204446</xdr:rowOff>
    </xdr:from>
    <xdr:to>
      <xdr:col>16</xdr:col>
      <xdr:colOff>50801</xdr:colOff>
      <xdr:row>5</xdr:row>
      <xdr:rowOff>545384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31645" y="204446"/>
          <a:ext cx="24222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863600</xdr:colOff>
      <xdr:row>0</xdr:row>
      <xdr:rowOff>280646</xdr:rowOff>
    </xdr:from>
    <xdr:to>
      <xdr:col>16</xdr:col>
      <xdr:colOff>25399</xdr:colOff>
      <xdr:row>5</xdr:row>
      <xdr:rowOff>586692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280646"/>
          <a:ext cx="4952999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2605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558801</xdr:colOff>
      <xdr:row>0</xdr:row>
      <xdr:rowOff>267946</xdr:rowOff>
    </xdr:from>
    <xdr:to>
      <xdr:col>15</xdr:col>
      <xdr:colOff>558801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1" y="267946"/>
          <a:ext cx="53721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1379221</xdr:colOff>
      <xdr:row>0</xdr:row>
      <xdr:rowOff>594360</xdr:rowOff>
    </xdr:from>
    <xdr:to>
      <xdr:col>14</xdr:col>
      <xdr:colOff>1879601</xdr:colOff>
      <xdr:row>5</xdr:row>
      <xdr:rowOff>451215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108421" y="594360"/>
          <a:ext cx="500380" cy="18507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  <xdr:twoCellAnchor editAs="oneCell">
    <xdr:from>
      <xdr:col>14</xdr:col>
      <xdr:colOff>139700</xdr:colOff>
      <xdr:row>0</xdr:row>
      <xdr:rowOff>269240</xdr:rowOff>
    </xdr:from>
    <xdr:to>
      <xdr:col>15</xdr:col>
      <xdr:colOff>508001</xdr:colOff>
      <xdr:row>5</xdr:row>
      <xdr:rowOff>575286</xdr:rowOff>
    </xdr:to>
    <xdr:pic>
      <xdr:nvPicPr>
        <xdr:cNvPr id="6" name="Picture 5" descr="TED ÇORUM KOLEJİ – 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0" y="269240"/>
          <a:ext cx="2374901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12</xdr:col>
      <xdr:colOff>1282699</xdr:colOff>
      <xdr:row>6</xdr:row>
      <xdr:rowOff>27220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22622054" cy="2426274"/>
          <a:chOff x="596085" y="217146"/>
          <a:chExt cx="16035544" cy="2444750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6581117" y="2615829"/>
            <a:ext cx="50512" cy="4606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14</xdr:col>
      <xdr:colOff>254000</xdr:colOff>
      <xdr:row>0</xdr:row>
      <xdr:rowOff>203200</xdr:rowOff>
    </xdr:from>
    <xdr:to>
      <xdr:col>16</xdr:col>
      <xdr:colOff>1</xdr:colOff>
      <xdr:row>5</xdr:row>
      <xdr:rowOff>509246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203200"/>
          <a:ext cx="2374901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12</xdr:col>
      <xdr:colOff>1612899</xdr:colOff>
      <xdr:row>5</xdr:row>
      <xdr:rowOff>603802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23206254" cy="2380556"/>
          <a:chOff x="596085" y="217146"/>
          <a:chExt cx="16470008" cy="2398684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 flipH="1" flipV="1">
            <a:off x="16978304" y="2569763"/>
            <a:ext cx="87789" cy="4606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14</xdr:col>
      <xdr:colOff>127000</xdr:colOff>
      <xdr:row>0</xdr:row>
      <xdr:rowOff>266700</xdr:rowOff>
    </xdr:from>
    <xdr:to>
      <xdr:col>15</xdr:col>
      <xdr:colOff>495301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5700" y="266700"/>
          <a:ext cx="2374901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15</xdr:col>
      <xdr:colOff>368298</xdr:colOff>
      <xdr:row>5</xdr:row>
      <xdr:rowOff>512364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4020" y="217146"/>
          <a:ext cx="27390903" cy="2279593"/>
          <a:chOff x="596085" y="217146"/>
          <a:chExt cx="19818685" cy="23065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 flipV="1">
            <a:off x="20369651" y="2404127"/>
            <a:ext cx="45119" cy="119569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14</xdr:col>
      <xdr:colOff>444500</xdr:colOff>
      <xdr:row>0</xdr:row>
      <xdr:rowOff>215900</xdr:rowOff>
    </xdr:from>
    <xdr:to>
      <xdr:col>16</xdr:col>
      <xdr:colOff>190501</xdr:colOff>
      <xdr:row>5</xdr:row>
      <xdr:rowOff>521946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0" y="215900"/>
          <a:ext cx="2374901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12</xdr:col>
      <xdr:colOff>1422399</xdr:colOff>
      <xdr:row>5</xdr:row>
      <xdr:rowOff>558083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6754654" cy="2334837"/>
          <a:chOff x="596085" y="217146"/>
          <a:chExt cx="18891185" cy="2352617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 flipH="1">
            <a:off x="19437664" y="2523696"/>
            <a:ext cx="49606" cy="4606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123645</xdr:colOff>
      <xdr:row>0</xdr:row>
      <xdr:rowOff>217146</xdr:rowOff>
    </xdr:from>
    <xdr:to>
      <xdr:col>15</xdr:col>
      <xdr:colOff>1549399</xdr:colOff>
      <xdr:row>5</xdr:row>
      <xdr:rowOff>603802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580845" y="217146"/>
          <a:ext cx="20615454" cy="2380556"/>
          <a:chOff x="596085" y="217146"/>
          <a:chExt cx="16470008" cy="2398684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 flipH="1" flipV="1">
            <a:off x="16978304" y="2569763"/>
            <a:ext cx="87789" cy="4606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250645</xdr:colOff>
      <xdr:row>0</xdr:row>
      <xdr:rowOff>279400</xdr:rowOff>
    </xdr:from>
    <xdr:to>
      <xdr:col>13</xdr:col>
      <xdr:colOff>618946</xdr:colOff>
      <xdr:row>5</xdr:row>
      <xdr:rowOff>585446</xdr:rowOff>
    </xdr:to>
    <xdr:pic>
      <xdr:nvPicPr>
        <xdr:cNvPr id="8" name="Picture 7" descr="TED ÇORUM KOLEJİ – TED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4545" y="279400"/>
          <a:ext cx="2374901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428445</xdr:colOff>
      <xdr:row>0</xdr:row>
      <xdr:rowOff>115546</xdr:rowOff>
    </xdr:from>
    <xdr:to>
      <xdr:col>3</xdr:col>
      <xdr:colOff>592647</xdr:colOff>
      <xdr:row>5</xdr:row>
      <xdr:rowOff>201356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28445" y="115546"/>
          <a:ext cx="4494902" cy="207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292100</xdr:colOff>
      <xdr:row>0</xdr:row>
      <xdr:rowOff>127000</xdr:rowOff>
    </xdr:from>
    <xdr:to>
      <xdr:col>16</xdr:col>
      <xdr:colOff>38101</xdr:colOff>
      <xdr:row>5</xdr:row>
      <xdr:rowOff>433046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1300" y="127000"/>
          <a:ext cx="2374901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topLeftCell="A40" zoomScale="50" zoomScaleNormal="50" workbookViewId="0">
      <selection activeCell="E33" sqref="E33"/>
    </sheetView>
  </sheetViews>
  <sheetFormatPr defaultColWidth="6.69140625" defaultRowHeight="14" x14ac:dyDescent="0.3"/>
  <cols>
    <col min="1" max="1" width="5.53515625" style="1" customWidth="1"/>
    <col min="2" max="2" width="22.53515625" style="1" customWidth="1"/>
    <col min="3" max="3" width="31" style="1" customWidth="1"/>
    <col min="4" max="4" width="7.4609375" style="14" customWidth="1"/>
    <col min="5" max="5" width="35.765625" style="1" customWidth="1"/>
    <col min="6" max="6" width="7.4609375" style="14" customWidth="1"/>
    <col min="7" max="7" width="46.3828125" style="1" customWidth="1"/>
    <col min="8" max="8" width="7.4609375" style="14" customWidth="1"/>
    <col min="9" max="9" width="33" style="1" customWidth="1"/>
    <col min="10" max="10" width="7.4609375" style="14" customWidth="1"/>
    <col min="11" max="11" width="38.5351562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248" t="s">
        <v>26</v>
      </c>
      <c r="S1" s="248"/>
    </row>
    <row r="2" spans="1:88" ht="13.75" customHeight="1" x14ac:dyDescent="0.3">
      <c r="R2" s="248"/>
      <c r="S2" s="248"/>
    </row>
    <row r="3" spans="1:88" ht="19.399999999999999" customHeight="1" x14ac:dyDescent="0.3">
      <c r="B3" s="9"/>
      <c r="R3" s="248"/>
      <c r="S3" s="248"/>
      <c r="BB3" s="9"/>
      <c r="BC3" s="9"/>
      <c r="BD3" s="9"/>
    </row>
    <row r="4" spans="1:88" ht="43.75" customHeight="1" x14ac:dyDescent="0.65">
      <c r="B4" s="258"/>
      <c r="C4" s="258"/>
      <c r="R4" s="248"/>
      <c r="S4" s="248"/>
      <c r="BB4" s="9"/>
      <c r="BC4" s="9"/>
      <c r="BD4" s="9"/>
      <c r="BK4" s="246"/>
      <c r="BL4" s="246"/>
      <c r="BM4" s="246"/>
      <c r="BN4" s="246"/>
      <c r="CG4" s="11"/>
      <c r="CH4" s="13"/>
      <c r="CI4" s="11"/>
    </row>
    <row r="5" spans="1:88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2022</v>
      </c>
      <c r="S5" s="44"/>
      <c r="BB5" s="9"/>
      <c r="BC5" s="9"/>
      <c r="BD5" s="9"/>
      <c r="BH5" s="9"/>
      <c r="BI5" s="9"/>
      <c r="BJ5" s="9"/>
      <c r="BK5" s="246"/>
      <c r="BL5" s="246"/>
      <c r="BM5" s="246"/>
      <c r="BN5" s="246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59" t="s">
        <v>0</v>
      </c>
      <c r="H6" s="259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247"/>
      <c r="CC6" s="247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91" t="s">
        <v>29</v>
      </c>
      <c r="E8" s="55" t="str">
        <f>IF(DAY(JanSun1)=1,"",IF(AND(YEAR(JanSun1+2)=CalendarYear,MONTH(JanSun1+2)=1),JanSun1+2,""))</f>
        <v/>
      </c>
      <c r="F8" s="91" t="s">
        <v>29</v>
      </c>
      <c r="G8" s="56" t="str">
        <f>IF(DAY(JanSun1)=1,"",IF(AND(YEAR(JanSun1+3)=CalendarYear,MONTH(JanSun1+3)=1),JanSun1+3,""))</f>
        <v/>
      </c>
      <c r="H8" s="91" t="s">
        <v>29</v>
      </c>
      <c r="I8" s="56" t="str">
        <f>IF(DAY(JanSun1)=1,"",IF(AND(YEAR(JanSun1+4)=CalendarYear,MONTH(JanSun1+4)=1),JanSun1+4,""))</f>
        <v/>
      </c>
      <c r="J8" s="91" t="s">
        <v>29</v>
      </c>
      <c r="K8" s="56" t="str">
        <f>IF(DAY(JanSun1)=1,"",IF(AND(YEAR(JanSun1+5)=CalendarYear,MONTH(JanSun1+5)=1),JanSun1+5,""))</f>
        <v/>
      </c>
      <c r="L8" s="91" t="s">
        <v>29</v>
      </c>
      <c r="M8" s="56">
        <f>IF(DAY(JanSun1)=1,"",IF(AND(YEAR(JanSun1+6)=CalendarYear,MONTH(JanSun1+6)=1),JanSun1+6,""))</f>
        <v>44562</v>
      </c>
      <c r="N8" s="91" t="s">
        <v>29</v>
      </c>
      <c r="O8" s="56">
        <f>IF(DAY(JanSun1)=1,IF(AND(YEAR(JanSun1)=CalendarYear,MONTH(JanSun1)=1),JanSun1,""),IF(AND(YEAR(JanSun1+7)=CalendarYear,MONTH(JanSun1+7)=1),JanSun1+7,""))</f>
        <v>44563</v>
      </c>
      <c r="P8" s="91" t="s">
        <v>29</v>
      </c>
      <c r="Q8" s="47"/>
      <c r="T8" s="53"/>
      <c r="U8" s="54"/>
    </row>
    <row r="9" spans="1:88" s="23" customFormat="1" ht="17.5" customHeight="1" x14ac:dyDescent="0.5">
      <c r="B9" s="93" t="s">
        <v>1</v>
      </c>
      <c r="C9" s="94"/>
      <c r="D9" s="95"/>
      <c r="E9" s="94"/>
      <c r="F9" s="95"/>
      <c r="G9" s="96"/>
      <c r="H9" s="95"/>
      <c r="I9" s="96"/>
      <c r="J9" s="95"/>
      <c r="K9" s="96"/>
      <c r="L9" s="95"/>
      <c r="M9" s="96" t="s">
        <v>32</v>
      </c>
      <c r="N9" s="95"/>
      <c r="O9" s="96" t="s">
        <v>32</v>
      </c>
      <c r="P9" s="95"/>
      <c r="Q9" s="22"/>
    </row>
    <row r="10" spans="1:88" s="23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22"/>
    </row>
    <row r="11" spans="1:88" s="23" customFormat="1" ht="17.5" customHeight="1" x14ac:dyDescent="0.5">
      <c r="B11" s="93" t="s">
        <v>3</v>
      </c>
      <c r="C11" s="98"/>
      <c r="D11" s="99"/>
      <c r="E11" s="98"/>
      <c r="F11" s="99"/>
      <c r="G11" s="100"/>
      <c r="H11" s="99"/>
      <c r="I11" s="100"/>
      <c r="J11" s="99"/>
      <c r="K11" s="100"/>
      <c r="L11" s="99"/>
      <c r="M11" s="100" t="s">
        <v>32</v>
      </c>
      <c r="N11" s="99"/>
      <c r="O11" s="100" t="s">
        <v>32</v>
      </c>
      <c r="P11" s="99"/>
      <c r="Q11" s="22"/>
    </row>
    <row r="12" spans="1:88" s="23" customFormat="1" ht="17.5" customHeight="1" x14ac:dyDescent="0.5">
      <c r="B12" s="93"/>
      <c r="C12" s="98"/>
      <c r="D12" s="99"/>
      <c r="E12" s="98"/>
      <c r="F12" s="99"/>
      <c r="G12" s="100"/>
      <c r="H12" s="99"/>
      <c r="I12" s="100"/>
      <c r="J12" s="99"/>
      <c r="K12" s="100"/>
      <c r="L12" s="99"/>
      <c r="M12" s="100"/>
      <c r="N12" s="99"/>
      <c r="O12" s="100"/>
      <c r="P12" s="99"/>
      <c r="Q12" s="22"/>
    </row>
    <row r="13" spans="1:88" s="23" customFormat="1" ht="17.5" customHeight="1" x14ac:dyDescent="0.5">
      <c r="B13" s="93" t="s">
        <v>4</v>
      </c>
      <c r="C13" s="98"/>
      <c r="D13" s="99"/>
      <c r="E13" s="98"/>
      <c r="F13" s="99"/>
      <c r="G13" s="100"/>
      <c r="H13" s="99"/>
      <c r="I13" s="100"/>
      <c r="J13" s="99"/>
      <c r="K13" s="100"/>
      <c r="L13" s="99"/>
      <c r="M13" s="100" t="s">
        <v>32</v>
      </c>
      <c r="N13" s="99"/>
      <c r="O13" s="100" t="s">
        <v>32</v>
      </c>
      <c r="P13" s="99"/>
      <c r="Q13" s="22"/>
    </row>
    <row r="14" spans="1:88" s="23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22"/>
    </row>
    <row r="15" spans="1:88" s="23" customFormat="1" ht="17.5" customHeight="1" x14ac:dyDescent="0.5">
      <c r="B15" s="93" t="s">
        <v>30</v>
      </c>
      <c r="C15" s="98"/>
      <c r="D15" s="99"/>
      <c r="E15" s="98"/>
      <c r="F15" s="99"/>
      <c r="G15" s="100"/>
      <c r="H15" s="99"/>
      <c r="I15" s="100"/>
      <c r="J15" s="99"/>
      <c r="K15" s="100"/>
      <c r="L15" s="99"/>
      <c r="M15" s="100" t="s">
        <v>32</v>
      </c>
      <c r="N15" s="99"/>
      <c r="O15" s="100" t="s">
        <v>32</v>
      </c>
      <c r="P15" s="99"/>
      <c r="Q15" s="22"/>
    </row>
    <row r="16" spans="1:88" s="23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22"/>
    </row>
    <row r="17" spans="2:21" s="23" customFormat="1" ht="17.5" customHeight="1" x14ac:dyDescent="0.5">
      <c r="B17" s="93" t="s">
        <v>6</v>
      </c>
      <c r="C17" s="98"/>
      <c r="D17" s="99"/>
      <c r="E17" s="98"/>
      <c r="F17" s="99"/>
      <c r="G17" s="100"/>
      <c r="H17" s="99"/>
      <c r="I17" s="100"/>
      <c r="J17" s="99"/>
      <c r="K17" s="100"/>
      <c r="L17" s="99"/>
      <c r="M17" s="100" t="s">
        <v>32</v>
      </c>
      <c r="N17" s="99"/>
      <c r="O17" s="100" t="s">
        <v>32</v>
      </c>
      <c r="P17" s="99"/>
      <c r="Q17" s="22"/>
    </row>
    <row r="18" spans="2:21" s="23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22"/>
    </row>
    <row r="19" spans="2:21" s="23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22"/>
    </row>
    <row r="20" spans="2:21" s="23" customFormat="1" ht="17.5" customHeight="1" x14ac:dyDescent="0.5">
      <c r="B20" s="101"/>
      <c r="C20" s="102"/>
      <c r="D20" s="103"/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22"/>
    </row>
    <row r="21" spans="2:21" s="51" customFormat="1" ht="18" customHeight="1" x14ac:dyDescent="0.3">
      <c r="B21" s="52"/>
      <c r="C21" s="55">
        <f>IF(DAY(JanSun1)=1,IF(AND(YEAR(JanSun1+1)=CalendarYear,MONTH(JanSun1+1)=1),JanSun1+1,""),IF(AND(YEAR(JanSun1+8)=CalendarYear,MONTH(JanSun1+8)=1),JanSun1+8,""))</f>
        <v>44564</v>
      </c>
      <c r="D21" s="91" t="s">
        <v>29</v>
      </c>
      <c r="E21" s="55">
        <f>IF(DAY(JanSun1)=1,IF(AND(YEAR(JanSun1+2)=CalendarYear,MONTH(JanSun1+2)=1),JanSun1+2,""),IF(AND(YEAR(JanSun1+9)=CalendarYear,MONTH(JanSun1+9)=1),JanSun1+9,""))</f>
        <v>44565</v>
      </c>
      <c r="F21" s="91" t="s">
        <v>29</v>
      </c>
      <c r="G21" s="56">
        <f>IF(DAY(JanSun1)=1,IF(AND(YEAR(JanSun1+3)=CalendarYear,MONTH(JanSun1+3)=1),JanSun1+3,""),IF(AND(YEAR(JanSun1+10)=CalendarYear,MONTH(JanSun1+10)=1),JanSun1+10,""))</f>
        <v>44566</v>
      </c>
      <c r="H21" s="91" t="s">
        <v>29</v>
      </c>
      <c r="I21" s="56">
        <f>IF(DAY(JanSun1)=1,IF(AND(YEAR(JanSun1+4)=CalendarYear,MONTH(JanSun1+4)=1),JanSun1+4,""),IF(AND(YEAR(JanSun1+11)=CalendarYear,MONTH(JanSun1+11)=1),JanSun1+11,""))</f>
        <v>44567</v>
      </c>
      <c r="J21" s="91" t="s">
        <v>29</v>
      </c>
      <c r="K21" s="56">
        <f>IF(DAY(JanSun1)=1,IF(AND(YEAR(JanSun1+5)=CalendarYear,MONTH(JanSun1+5)=1),JanSun1+5,""),IF(AND(YEAR(JanSun1+12)=CalendarYear,MONTH(JanSun1+12)=1),JanSun1+12,""))</f>
        <v>44568</v>
      </c>
      <c r="L21" s="91" t="s">
        <v>29</v>
      </c>
      <c r="M21" s="56">
        <f>IF(DAY(JanSun1)=1,IF(AND(YEAR(JanSun1+6)=CalendarYear,MONTH(JanSun1+6)=1),JanSun1+6,""),IF(AND(YEAR(JanSun1+13)=CalendarYear,MONTH(JanSun1+13)=1),JanSun1+13,""))</f>
        <v>44569</v>
      </c>
      <c r="N21" s="91" t="s">
        <v>29</v>
      </c>
      <c r="O21" s="56">
        <f>IF(DAY(JanSun1)=1,IF(AND(YEAR(JanSun1+7)=CalendarYear,MONTH(JanSun1+7)=1),JanSun1+7,""),IF(AND(YEAR(JanSun1+14)=CalendarYear,MONTH(JanSun1+14)=1),JanSun1+14,""))</f>
        <v>44570</v>
      </c>
      <c r="P21" s="91" t="s">
        <v>29</v>
      </c>
      <c r="Q21" s="47"/>
      <c r="T21" s="53"/>
      <c r="U21" s="54"/>
    </row>
    <row r="22" spans="2:21" s="23" customFormat="1" ht="17.5" customHeight="1" x14ac:dyDescent="0.5">
      <c r="B22" s="93" t="s">
        <v>1</v>
      </c>
      <c r="C22" s="105" t="s">
        <v>31</v>
      </c>
      <c r="D22" s="106"/>
      <c r="E22" s="105" t="s">
        <v>42</v>
      </c>
      <c r="F22" s="106"/>
      <c r="G22" s="107" t="s">
        <v>43</v>
      </c>
      <c r="H22" s="106"/>
      <c r="I22" s="107" t="s">
        <v>45</v>
      </c>
      <c r="J22" s="106"/>
      <c r="K22" s="107" t="s">
        <v>217</v>
      </c>
      <c r="L22" s="106"/>
      <c r="M22" s="107" t="s">
        <v>219</v>
      </c>
      <c r="N22" s="106"/>
      <c r="O22" s="107" t="s">
        <v>32</v>
      </c>
      <c r="P22" s="106"/>
      <c r="Q22" s="22"/>
    </row>
    <row r="23" spans="2:21" s="23" customFormat="1" ht="17.5" customHeight="1" x14ac:dyDescent="0.5">
      <c r="B23" s="93"/>
      <c r="C23" s="108"/>
      <c r="D23" s="109"/>
      <c r="E23" s="108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22"/>
    </row>
    <row r="24" spans="2:21" s="23" customFormat="1" ht="17.5" customHeight="1" x14ac:dyDescent="0.5">
      <c r="B24" s="93" t="s">
        <v>3</v>
      </c>
      <c r="C24" s="108" t="s">
        <v>144</v>
      </c>
      <c r="D24" s="109"/>
      <c r="E24" s="108" t="s">
        <v>212</v>
      </c>
      <c r="F24" s="109"/>
      <c r="G24" s="110" t="s">
        <v>216</v>
      </c>
      <c r="H24" s="109"/>
      <c r="I24" s="110" t="s">
        <v>149</v>
      </c>
      <c r="J24" s="109"/>
      <c r="K24" s="110" t="s">
        <v>218</v>
      </c>
      <c r="L24" s="109"/>
      <c r="M24" s="110" t="s">
        <v>220</v>
      </c>
      <c r="N24" s="109"/>
      <c r="O24" s="110" t="s">
        <v>32</v>
      </c>
      <c r="P24" s="109"/>
      <c r="Q24" s="22"/>
    </row>
    <row r="25" spans="2:21" s="23" customFormat="1" ht="17.5" customHeight="1" x14ac:dyDescent="0.5">
      <c r="B25" s="93"/>
      <c r="C25" s="108"/>
      <c r="D25" s="109"/>
      <c r="E25" s="108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22"/>
    </row>
    <row r="26" spans="2:21" s="23" customFormat="1" ht="17.5" customHeight="1" x14ac:dyDescent="0.5">
      <c r="B26" s="93" t="s">
        <v>4</v>
      </c>
      <c r="C26" s="108" t="s">
        <v>214</v>
      </c>
      <c r="D26" s="109"/>
      <c r="E26" s="108" t="s">
        <v>213</v>
      </c>
      <c r="F26" s="109"/>
      <c r="G26" s="110" t="s">
        <v>35</v>
      </c>
      <c r="H26" s="109"/>
      <c r="I26" s="110" t="s">
        <v>53</v>
      </c>
      <c r="J26" s="109"/>
      <c r="K26" s="110" t="s">
        <v>147</v>
      </c>
      <c r="L26" s="109"/>
      <c r="M26" s="110" t="s">
        <v>38</v>
      </c>
      <c r="N26" s="109"/>
      <c r="O26" s="110" t="s">
        <v>32</v>
      </c>
      <c r="P26" s="109"/>
      <c r="Q26" s="22"/>
    </row>
    <row r="27" spans="2:21" s="23" customFormat="1" ht="17.5" customHeight="1" x14ac:dyDescent="0.5">
      <c r="B27" s="93"/>
      <c r="C27" s="108"/>
      <c r="D27" s="109"/>
      <c r="E27" s="108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22"/>
    </row>
    <row r="28" spans="2:21" s="23" customFormat="1" ht="17.5" customHeight="1" x14ac:dyDescent="0.5">
      <c r="B28" s="93" t="s">
        <v>30</v>
      </c>
      <c r="C28" s="108" t="s">
        <v>38</v>
      </c>
      <c r="D28" s="109"/>
      <c r="E28" s="108" t="s">
        <v>148</v>
      </c>
      <c r="F28" s="109"/>
      <c r="G28" s="110" t="s">
        <v>85</v>
      </c>
      <c r="H28" s="109"/>
      <c r="I28" s="110" t="s">
        <v>57</v>
      </c>
      <c r="J28" s="109"/>
      <c r="K28" s="110" t="s">
        <v>38</v>
      </c>
      <c r="L28" s="109"/>
      <c r="M28" s="110" t="s">
        <v>219</v>
      </c>
      <c r="N28" s="109"/>
      <c r="O28" s="110" t="s">
        <v>32</v>
      </c>
      <c r="P28" s="109"/>
      <c r="Q28" s="22"/>
    </row>
    <row r="29" spans="2:21" s="23" customFormat="1" ht="17.5" customHeight="1" x14ac:dyDescent="0.5">
      <c r="B29" s="93"/>
      <c r="C29" s="108"/>
      <c r="D29" s="109"/>
      <c r="E29" s="108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22"/>
    </row>
    <row r="30" spans="2:21" s="23" customFormat="1" ht="17.5" customHeight="1" x14ac:dyDescent="0.5">
      <c r="B30" s="93" t="s">
        <v>6</v>
      </c>
      <c r="C30" s="108" t="s">
        <v>40</v>
      </c>
      <c r="D30" s="109"/>
      <c r="E30" s="108" t="s">
        <v>229</v>
      </c>
      <c r="F30" s="109"/>
      <c r="G30" s="110" t="s">
        <v>62</v>
      </c>
      <c r="H30" s="109"/>
      <c r="I30" s="110" t="s">
        <v>215</v>
      </c>
      <c r="J30" s="109"/>
      <c r="K30" s="110" t="s">
        <v>66</v>
      </c>
      <c r="L30" s="109"/>
      <c r="M30" s="110" t="s">
        <v>219</v>
      </c>
      <c r="N30" s="109"/>
      <c r="O30" s="110" t="s">
        <v>32</v>
      </c>
      <c r="P30" s="109"/>
      <c r="Q30" s="22"/>
    </row>
    <row r="31" spans="2:21" s="23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22"/>
    </row>
    <row r="32" spans="2:21" s="23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22"/>
    </row>
    <row r="33" spans="2:21" s="23" customFormat="1" ht="17.5" customHeight="1" x14ac:dyDescent="0.5">
      <c r="B33" s="101"/>
      <c r="C33" s="111"/>
      <c r="D33" s="112"/>
      <c r="E33" s="111"/>
      <c r="F33" s="112"/>
      <c r="G33" s="113"/>
      <c r="H33" s="112"/>
      <c r="I33" s="113"/>
      <c r="J33" s="112"/>
      <c r="K33" s="113"/>
      <c r="L33" s="112"/>
      <c r="M33" s="113"/>
      <c r="N33" s="112"/>
      <c r="O33" s="113"/>
      <c r="P33" s="112"/>
      <c r="Q33" s="22"/>
    </row>
    <row r="34" spans="2:21" s="51" customFormat="1" ht="18" customHeight="1" x14ac:dyDescent="0.3">
      <c r="B34" s="52"/>
      <c r="C34" s="55">
        <f>IF(DAY(JanSun1)=1,IF(AND(YEAR(JanSun1+8)=CalendarYear,MONTH(JanSun1+8)=1),JanSun1+8,""),IF(AND(YEAR(JanSun1+15)=CalendarYear,MONTH(JanSun1+15)=1),JanSun1+15,""))</f>
        <v>44571</v>
      </c>
      <c r="D34" s="91" t="s">
        <v>29</v>
      </c>
      <c r="E34" s="55">
        <f>IF(DAY(JanSun1)=1,IF(AND(YEAR(JanSun1+9)=CalendarYear,MONTH(JanSun1+9)=1),JanSun1+9,""),IF(AND(YEAR(JanSun1+16)=CalendarYear,MONTH(JanSun1+16)=1),JanSun1+16,""))</f>
        <v>44572</v>
      </c>
      <c r="F34" s="91" t="s">
        <v>29</v>
      </c>
      <c r="G34" s="56">
        <f>IF(DAY(JanSun1)=1,IF(AND(YEAR(JanSun1+10)=CalendarYear,MONTH(JanSun1+10)=1),JanSun1+10,""),IF(AND(YEAR(JanSun1+17)=CalendarYear,MONTH(JanSun1+17)=1),JanSun1+17,""))</f>
        <v>44573</v>
      </c>
      <c r="H34" s="91" t="s">
        <v>29</v>
      </c>
      <c r="I34" s="56">
        <f>IF(DAY(JanSun1)=1,IF(AND(YEAR(JanSun1+11)=CalendarYear,MONTH(JanSun1+11)=1),JanSun1+11,""),IF(AND(YEAR(JanSun1+18)=CalendarYear,MONTH(JanSun1+18)=1),JanSun1+18,""))</f>
        <v>44574</v>
      </c>
      <c r="J34" s="91" t="s">
        <v>29</v>
      </c>
      <c r="K34" s="56">
        <f>IF(DAY(JanSun1)=1,IF(AND(YEAR(JanSun1+12)=CalendarYear,MONTH(JanSun1+12)=1),JanSun1+12,""),IF(AND(YEAR(JanSun1+19)=CalendarYear,MONTH(JanSun1+19)=1),JanSun1+19,""))</f>
        <v>44575</v>
      </c>
      <c r="L34" s="91" t="s">
        <v>29</v>
      </c>
      <c r="M34" s="56">
        <f>IF(DAY(JanSun1)=1,IF(AND(YEAR(JanSun1+13)=CalendarYear,MONTH(JanSun1+13)=1),JanSun1+13,""),IF(AND(YEAR(JanSun1+20)=CalendarYear,MONTH(JanSun1+20)=1),JanSun1+20,""))</f>
        <v>44576</v>
      </c>
      <c r="N34" s="91" t="s">
        <v>29</v>
      </c>
      <c r="O34" s="56">
        <f>IF(DAY(JanSun1)=1,IF(AND(YEAR(JanSun1+14)=CalendarYear,MONTH(JanSun1+14)=1),JanSun1+14,""),IF(AND(YEAR(JanSun1+21)=CalendarYear,MONTH(JanSun1+21)=1),JanSun1+21,""))</f>
        <v>44577</v>
      </c>
      <c r="P34" s="91" t="s">
        <v>29</v>
      </c>
      <c r="Q34" s="47"/>
      <c r="T34" s="53"/>
      <c r="U34" s="54"/>
    </row>
    <row r="35" spans="2:21" s="23" customFormat="1" ht="17.5" customHeight="1" x14ac:dyDescent="0.5">
      <c r="B35" s="93" t="s">
        <v>1</v>
      </c>
      <c r="C35" s="94" t="s">
        <v>221</v>
      </c>
      <c r="D35" s="95"/>
      <c r="E35" s="94" t="s">
        <v>222</v>
      </c>
      <c r="F35" s="95"/>
      <c r="G35" s="96" t="s">
        <v>45</v>
      </c>
      <c r="H35" s="95"/>
      <c r="I35" s="96" t="s">
        <v>42</v>
      </c>
      <c r="J35" s="95"/>
      <c r="K35" s="96" t="s">
        <v>31</v>
      </c>
      <c r="L35" s="95"/>
      <c r="M35" s="96"/>
      <c r="N35" s="95"/>
      <c r="O35" s="96" t="s">
        <v>32</v>
      </c>
      <c r="P35" s="95"/>
      <c r="Q35" s="22"/>
    </row>
    <row r="36" spans="2:21" s="23" customFormat="1" ht="17.5" customHeight="1" x14ac:dyDescent="0.5">
      <c r="B36" s="93"/>
      <c r="C36" s="98"/>
      <c r="D36" s="99"/>
      <c r="E36" s="98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22"/>
    </row>
    <row r="37" spans="2:21" s="23" customFormat="1" ht="17.5" customHeight="1" x14ac:dyDescent="0.5">
      <c r="B37" s="93" t="s">
        <v>3</v>
      </c>
      <c r="C37" s="98" t="s">
        <v>49</v>
      </c>
      <c r="D37" s="99"/>
      <c r="E37" s="98" t="s">
        <v>223</v>
      </c>
      <c r="F37" s="99"/>
      <c r="G37" s="100" t="s">
        <v>224</v>
      </c>
      <c r="H37" s="99"/>
      <c r="I37" s="100" t="s">
        <v>199</v>
      </c>
      <c r="J37" s="99"/>
      <c r="K37" s="100" t="s">
        <v>227</v>
      </c>
      <c r="L37" s="99"/>
      <c r="M37" s="100" t="s">
        <v>228</v>
      </c>
      <c r="N37" s="99"/>
      <c r="O37" s="100" t="s">
        <v>32</v>
      </c>
      <c r="P37" s="99"/>
      <c r="Q37" s="22"/>
    </row>
    <row r="38" spans="2:21" s="23" customFormat="1" ht="17.5" customHeight="1" x14ac:dyDescent="0.5">
      <c r="B38" s="93"/>
      <c r="C38" s="98"/>
      <c r="D38" s="99"/>
      <c r="E38" s="98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22"/>
    </row>
    <row r="39" spans="2:21" s="23" customFormat="1" ht="17.5" customHeight="1" x14ac:dyDescent="0.5">
      <c r="B39" s="93" t="s">
        <v>4</v>
      </c>
      <c r="C39" s="98" t="s">
        <v>77</v>
      </c>
      <c r="D39" s="99"/>
      <c r="E39" s="98" t="s">
        <v>52</v>
      </c>
      <c r="F39" s="99"/>
      <c r="G39" s="100" t="s">
        <v>226</v>
      </c>
      <c r="H39" s="99"/>
      <c r="I39" s="100" t="s">
        <v>96</v>
      </c>
      <c r="J39" s="99"/>
      <c r="K39" s="100" t="s">
        <v>56</v>
      </c>
      <c r="L39" s="99"/>
      <c r="M39" s="100" t="s">
        <v>85</v>
      </c>
      <c r="N39" s="99"/>
      <c r="O39" s="100" t="s">
        <v>32</v>
      </c>
      <c r="P39" s="99"/>
      <c r="Q39" s="22"/>
    </row>
    <row r="40" spans="2:21" s="23" customFormat="1" ht="17.5" customHeight="1" x14ac:dyDescent="0.5">
      <c r="B40" s="93"/>
      <c r="C40" s="98"/>
      <c r="D40" s="99"/>
      <c r="E40" s="98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22"/>
    </row>
    <row r="41" spans="2:21" s="23" customFormat="1" ht="17.5" customHeight="1" x14ac:dyDescent="0.5">
      <c r="B41" s="93" t="s">
        <v>30</v>
      </c>
      <c r="C41" s="98" t="s">
        <v>38</v>
      </c>
      <c r="D41" s="99"/>
      <c r="E41" s="98" t="s">
        <v>99</v>
      </c>
      <c r="F41" s="99"/>
      <c r="G41" s="100" t="s">
        <v>57</v>
      </c>
      <c r="H41" s="99"/>
      <c r="I41" s="100" t="s">
        <v>85</v>
      </c>
      <c r="J41" s="99"/>
      <c r="K41" s="100" t="s">
        <v>238</v>
      </c>
      <c r="L41" s="99"/>
      <c r="M41" s="100"/>
      <c r="N41" s="99"/>
      <c r="O41" s="100" t="s">
        <v>32</v>
      </c>
      <c r="P41" s="99"/>
      <c r="Q41" s="22"/>
    </row>
    <row r="42" spans="2:21" s="23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22"/>
    </row>
    <row r="43" spans="2:21" s="23" customFormat="1" ht="17.5" customHeight="1" x14ac:dyDescent="0.5">
      <c r="B43" s="93" t="s">
        <v>6</v>
      </c>
      <c r="C43" s="98" t="s">
        <v>40</v>
      </c>
      <c r="D43" s="99"/>
      <c r="E43" s="98" t="s">
        <v>66</v>
      </c>
      <c r="F43" s="99"/>
      <c r="G43" s="100" t="s">
        <v>121</v>
      </c>
      <c r="H43" s="99"/>
      <c r="I43" s="100" t="s">
        <v>225</v>
      </c>
      <c r="J43" s="99"/>
      <c r="K43" s="100" t="s">
        <v>62</v>
      </c>
      <c r="L43" s="99"/>
      <c r="M43" s="100"/>
      <c r="N43" s="99"/>
      <c r="O43" s="100" t="s">
        <v>32</v>
      </c>
      <c r="P43" s="99"/>
      <c r="Q43" s="22"/>
    </row>
    <row r="44" spans="2:21" s="23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22"/>
    </row>
    <row r="45" spans="2:21" s="23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22"/>
    </row>
    <row r="46" spans="2:21" s="23" customFormat="1" ht="17.5" customHeight="1" x14ac:dyDescent="0.5">
      <c r="B46" s="101"/>
      <c r="C46" s="102"/>
      <c r="D46" s="103"/>
      <c r="E46" s="102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22"/>
    </row>
    <row r="47" spans="2:21" s="51" customFormat="1" ht="18" customHeight="1" x14ac:dyDescent="0.3">
      <c r="B47" s="52"/>
      <c r="C47" s="55">
        <f>IF(DAY(JanSun1)=1,IF(AND(YEAR(JanSun1+15)=CalendarYear,MONTH(JanSun1+15)=1),JanSun1+15,""),IF(AND(YEAR(JanSun1+22)=CalendarYear,MONTH(JanSun1+22)=1),JanSun1+22,""))</f>
        <v>44578</v>
      </c>
      <c r="D47" s="91" t="s">
        <v>29</v>
      </c>
      <c r="E47" s="55">
        <f>IF(DAY(JanSun1)=1,IF(AND(YEAR(JanSun1+16)=CalendarYear,MONTH(JanSun1+16)=1),JanSun1+16,""),IF(AND(YEAR(JanSun1+23)=CalendarYear,MONTH(JanSun1+23)=1),JanSun1+23,""))</f>
        <v>44579</v>
      </c>
      <c r="F47" s="91" t="s">
        <v>29</v>
      </c>
      <c r="G47" s="56">
        <f>IF(DAY(JanSun1)=1,IF(AND(YEAR(JanSun1+17)=CalendarYear,MONTH(JanSun1+17)=1),JanSun1+17,""),IF(AND(YEAR(JanSun1+24)=CalendarYear,MONTH(JanSun1+24)=1),JanSun1+24,""))</f>
        <v>44580</v>
      </c>
      <c r="H47" s="91" t="s">
        <v>29</v>
      </c>
      <c r="I47" s="56">
        <f>IF(DAY(JanSun1)=1,IF(AND(YEAR(JanSun1+18)=CalendarYear,MONTH(JanSun1+18)=1),JanSun1+18,""),IF(AND(YEAR(JanSun1+25)=CalendarYear,MONTH(JanSun1+25)=1),JanSun1+25,""))</f>
        <v>44581</v>
      </c>
      <c r="J47" s="91" t="s">
        <v>29</v>
      </c>
      <c r="K47" s="56">
        <f>IF(DAY(JanSun1)=1,IF(AND(YEAR(JanSun1+19)=CalendarYear,MONTH(JanSun1+19)=1),JanSun1+19,""),IF(AND(YEAR(JanSun1+26)=CalendarYear,MONTH(JanSun1+26)=1),JanSun1+26,""))</f>
        <v>44582</v>
      </c>
      <c r="L47" s="91" t="s">
        <v>29</v>
      </c>
      <c r="M47" s="56">
        <f>IF(DAY(JanSun1)=1,IF(AND(YEAR(JanSun1+20)=CalendarYear,MONTH(JanSun1+20)=1),JanSun1+20,""),IF(AND(YEAR(JanSun1+27)=CalendarYear,MONTH(JanSun1+27)=1),JanSun1+27,""))</f>
        <v>44583</v>
      </c>
      <c r="N47" s="91" t="s">
        <v>29</v>
      </c>
      <c r="O47" s="56">
        <f>IF(DAY(JanSun1)=1,IF(AND(YEAR(JanSun1+21)=CalendarYear,MONTH(JanSun1+21)=1),JanSun1+21,""),IF(AND(YEAR(JanSun1+28)=CalendarYear,MONTH(JanSun1+28)=1),JanSun1+28,""))</f>
        <v>44584</v>
      </c>
      <c r="P47" s="91" t="s">
        <v>29</v>
      </c>
      <c r="Q47" s="47"/>
      <c r="T47" s="53"/>
      <c r="U47" s="54"/>
    </row>
    <row r="48" spans="2:21" s="23" customFormat="1" ht="17.5" customHeight="1" x14ac:dyDescent="0.5">
      <c r="B48" s="93" t="s">
        <v>1</v>
      </c>
      <c r="C48" s="105" t="s">
        <v>44</v>
      </c>
      <c r="D48" s="106"/>
      <c r="E48" s="105" t="s">
        <v>232</v>
      </c>
      <c r="F48" s="106"/>
      <c r="G48" s="107" t="s">
        <v>45</v>
      </c>
      <c r="H48" s="106"/>
      <c r="I48" s="107" t="s">
        <v>222</v>
      </c>
      <c r="J48" s="106"/>
      <c r="K48" s="107" t="s">
        <v>31</v>
      </c>
      <c r="L48" s="106"/>
      <c r="M48" s="107" t="s">
        <v>219</v>
      </c>
      <c r="N48" s="106"/>
      <c r="O48" s="107" t="s">
        <v>32</v>
      </c>
      <c r="P48" s="106"/>
      <c r="Q48" s="22"/>
    </row>
    <row r="49" spans="2:21" s="23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 t="s">
        <v>219</v>
      </c>
      <c r="N49" s="109"/>
      <c r="O49" s="110"/>
      <c r="P49" s="109"/>
      <c r="Q49" s="22"/>
    </row>
    <row r="50" spans="2:21" s="23" customFormat="1" ht="17.5" customHeight="1" x14ac:dyDescent="0.5">
      <c r="B50" s="93" t="s">
        <v>3</v>
      </c>
      <c r="C50" s="108" t="s">
        <v>230</v>
      </c>
      <c r="D50" s="109"/>
      <c r="E50" s="108" t="s">
        <v>231</v>
      </c>
      <c r="F50" s="109"/>
      <c r="G50" s="110" t="s">
        <v>156</v>
      </c>
      <c r="H50" s="109"/>
      <c r="I50" s="110" t="s">
        <v>162</v>
      </c>
      <c r="J50" s="109"/>
      <c r="K50" s="110" t="s">
        <v>237</v>
      </c>
      <c r="L50" s="109"/>
      <c r="M50" s="110" t="s">
        <v>240</v>
      </c>
      <c r="N50" s="109"/>
      <c r="O50" s="110" t="s">
        <v>32</v>
      </c>
      <c r="P50" s="109"/>
      <c r="Q50" s="22"/>
    </row>
    <row r="51" spans="2:21" s="23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/>
      <c r="J51" s="109"/>
      <c r="K51" s="110"/>
      <c r="L51" s="109"/>
      <c r="M51" s="110"/>
      <c r="N51" s="109"/>
      <c r="O51" s="110"/>
      <c r="P51" s="109"/>
      <c r="Q51" s="22"/>
    </row>
    <row r="52" spans="2:21" s="23" customFormat="1" ht="17.5" customHeight="1" x14ac:dyDescent="0.5">
      <c r="B52" s="93" t="s">
        <v>4</v>
      </c>
      <c r="C52" s="108" t="s">
        <v>38</v>
      </c>
      <c r="D52" s="109"/>
      <c r="E52" s="108" t="s">
        <v>233</v>
      </c>
      <c r="F52" s="109"/>
      <c r="G52" s="110" t="s">
        <v>35</v>
      </c>
      <c r="H52" s="109"/>
      <c r="I52" s="110" t="s">
        <v>235</v>
      </c>
      <c r="J52" s="109"/>
      <c r="K52" s="110" t="s">
        <v>75</v>
      </c>
      <c r="L52" s="109"/>
      <c r="M52" s="110" t="s">
        <v>38</v>
      </c>
      <c r="N52" s="109"/>
      <c r="O52" s="110" t="s">
        <v>32</v>
      </c>
      <c r="P52" s="109"/>
      <c r="Q52" s="22"/>
    </row>
    <row r="53" spans="2:21" s="23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22"/>
    </row>
    <row r="54" spans="2:21" s="23" customFormat="1" ht="17.5" customHeight="1" x14ac:dyDescent="0.5">
      <c r="B54" s="93" t="s">
        <v>30</v>
      </c>
      <c r="C54" s="108" t="s">
        <v>40</v>
      </c>
      <c r="D54" s="109"/>
      <c r="E54" s="108" t="s">
        <v>148</v>
      </c>
      <c r="F54" s="109"/>
      <c r="G54" s="110" t="s">
        <v>40</v>
      </c>
      <c r="H54" s="109"/>
      <c r="I54" s="110" t="s">
        <v>38</v>
      </c>
      <c r="J54" s="109"/>
      <c r="K54" s="110" t="s">
        <v>99</v>
      </c>
      <c r="L54" s="109"/>
      <c r="M54" s="110"/>
      <c r="N54" s="109"/>
      <c r="O54" s="110" t="s">
        <v>32</v>
      </c>
      <c r="P54" s="109"/>
      <c r="Q54" s="22"/>
    </row>
    <row r="55" spans="2:21" s="23" customFormat="1" ht="17.5" customHeight="1" x14ac:dyDescent="0.5">
      <c r="B55" s="93"/>
      <c r="C55" s="108"/>
      <c r="D55" s="109"/>
      <c r="E55" s="108"/>
      <c r="F55" s="109"/>
      <c r="G55" s="110"/>
      <c r="H55" s="109"/>
      <c r="I55" s="110"/>
      <c r="J55" s="109"/>
      <c r="K55" s="110"/>
      <c r="L55" s="109"/>
      <c r="M55" s="110"/>
      <c r="N55" s="109"/>
      <c r="O55" s="110"/>
      <c r="P55" s="109"/>
      <c r="Q55" s="22"/>
    </row>
    <row r="56" spans="2:21" s="23" customFormat="1" ht="17.5" customHeight="1" x14ac:dyDescent="0.5">
      <c r="B56" s="93" t="s">
        <v>6</v>
      </c>
      <c r="C56" s="108" t="s">
        <v>64</v>
      </c>
      <c r="D56" s="109"/>
      <c r="E56" s="108" t="s">
        <v>62</v>
      </c>
      <c r="F56" s="109"/>
      <c r="G56" s="110" t="s">
        <v>234</v>
      </c>
      <c r="H56" s="109"/>
      <c r="I56" s="110" t="s">
        <v>236</v>
      </c>
      <c r="J56" s="109"/>
      <c r="K56" s="110" t="s">
        <v>119</v>
      </c>
      <c r="L56" s="109"/>
      <c r="M56" s="110"/>
      <c r="N56" s="109"/>
      <c r="O56" s="110"/>
      <c r="P56" s="109"/>
      <c r="Q56" s="22"/>
    </row>
    <row r="57" spans="2:21" s="23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22"/>
    </row>
    <row r="58" spans="2:21" s="23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22"/>
    </row>
    <row r="59" spans="2:21" s="23" customFormat="1" ht="17.5" customHeight="1" x14ac:dyDescent="0.5">
      <c r="B59" s="101"/>
      <c r="C59" s="111"/>
      <c r="D59" s="112"/>
      <c r="E59" s="111"/>
      <c r="F59" s="112"/>
      <c r="G59" s="113"/>
      <c r="H59" s="112"/>
      <c r="I59" s="113"/>
      <c r="J59" s="112"/>
      <c r="K59" s="113"/>
      <c r="L59" s="112"/>
      <c r="M59" s="113"/>
      <c r="N59" s="112"/>
      <c r="O59" s="113"/>
      <c r="P59" s="112"/>
      <c r="Q59" s="22"/>
    </row>
    <row r="60" spans="2:21" s="51" customFormat="1" ht="18" customHeight="1" x14ac:dyDescent="0.3">
      <c r="B60" s="52"/>
      <c r="C60" s="55">
        <f>IF(DAY(JanSun1)=1,IF(AND(YEAR(JanSun1+22)=CalendarYear,MONTH(JanSun1+22)=1),JanSun1+22,""),IF(AND(YEAR(JanSun1+29)=CalendarYear,MONTH(JanSun1+29)=1),JanSun1+29,""))</f>
        <v>44585</v>
      </c>
      <c r="D60" s="91" t="s">
        <v>29</v>
      </c>
      <c r="E60" s="55">
        <f>IF(DAY(JanSun1)=1,IF(AND(YEAR(JanSun1+23)=CalendarYear,MONTH(JanSun1+23)=1),JanSun1+23,""),IF(AND(YEAR(JanSun1+30)=CalendarYear,MONTH(JanSun1+30)=1),JanSun1+30,""))</f>
        <v>44586</v>
      </c>
      <c r="F60" s="91" t="s">
        <v>29</v>
      </c>
      <c r="G60" s="56">
        <f>IF(DAY(JanSun1)=1,IF(AND(YEAR(JanSun1+24)=CalendarYear,MONTH(JanSun1+24)=1),JanSun1+24,""),IF(AND(YEAR(JanSun1+31)=CalendarYear,MONTH(JanSun1+31)=1),JanSun1+31,""))</f>
        <v>44587</v>
      </c>
      <c r="H60" s="91" t="s">
        <v>29</v>
      </c>
      <c r="I60" s="56">
        <f>IF(DAY(JanSun1)=1,IF(AND(YEAR(JanSun1+25)=CalendarYear,MONTH(JanSun1+25)=1),JanSun1+25,""),IF(AND(YEAR(JanSun1+32)=CalendarYear,MONTH(JanSun1+32)=1),JanSun1+32,""))</f>
        <v>44588</v>
      </c>
      <c r="J60" s="91" t="s">
        <v>29</v>
      </c>
      <c r="K60" s="56">
        <f>IF(DAY(JanSun1)=1,IF(AND(YEAR(JanSun1+26)=CalendarYear,MONTH(JanSun1+26)=1),JanSun1+26,""),IF(AND(YEAR(JanSun1+33)=CalendarYear,MONTH(JanSun1+33)=1),JanSun1+33,""))</f>
        <v>44589</v>
      </c>
      <c r="L60" s="91" t="s">
        <v>29</v>
      </c>
      <c r="M60" s="56">
        <f>IF(DAY(JanSun1)=1,IF(AND(YEAR(JanSun1+27)=CalendarYear,MONTH(JanSun1+27)=1),JanSun1+27,""),IF(AND(YEAR(JanSun1+34)=CalendarYear,MONTH(JanSun1+34)=1),JanSun1+34,""))</f>
        <v>44590</v>
      </c>
      <c r="N60" s="91" t="s">
        <v>29</v>
      </c>
      <c r="O60" s="56">
        <f>IF(DAY(JanSun1)=1,IF(AND(YEAR(JanSun1+28)=CalendarYear,MONTH(JanSun1+28)=1),JanSun1+28,""),IF(AND(YEAR(JanSun1+35)=CalendarYear,MONTH(JanSun1+35)=1),JanSun1+35,""))</f>
        <v>44591</v>
      </c>
      <c r="P60" s="91" t="s">
        <v>29</v>
      </c>
      <c r="Q60" s="47"/>
      <c r="T60" s="53"/>
      <c r="U60" s="54"/>
    </row>
    <row r="61" spans="2:21" s="23" customFormat="1" ht="17.5" customHeight="1" x14ac:dyDescent="0.5">
      <c r="B61" s="93" t="s">
        <v>1</v>
      </c>
      <c r="C61" s="94" t="s">
        <v>241</v>
      </c>
      <c r="D61" s="95"/>
      <c r="E61" s="94" t="s">
        <v>105</v>
      </c>
      <c r="F61" s="95"/>
      <c r="G61" s="96" t="s">
        <v>243</v>
      </c>
      <c r="H61" s="95"/>
      <c r="I61" s="96" t="s">
        <v>161</v>
      </c>
      <c r="J61" s="95"/>
      <c r="K61" s="96" t="s">
        <v>43</v>
      </c>
      <c r="L61" s="95"/>
      <c r="M61" s="96"/>
      <c r="N61" s="95"/>
      <c r="O61" s="96" t="s">
        <v>32</v>
      </c>
      <c r="P61" s="95"/>
      <c r="Q61" s="22"/>
    </row>
    <row r="62" spans="2:21" s="23" customFormat="1" ht="17.5" customHeight="1" x14ac:dyDescent="0.5">
      <c r="B62" s="93"/>
      <c r="C62" s="98"/>
      <c r="D62" s="99"/>
      <c r="E62" s="98"/>
      <c r="F62" s="99"/>
      <c r="G62" s="100"/>
      <c r="H62" s="99"/>
      <c r="I62" s="100"/>
      <c r="J62" s="99"/>
      <c r="K62" s="100"/>
      <c r="L62" s="99"/>
      <c r="M62" s="100"/>
      <c r="N62" s="99"/>
      <c r="O62" s="100"/>
      <c r="P62" s="99"/>
      <c r="Q62" s="22"/>
    </row>
    <row r="63" spans="2:21" s="23" customFormat="1" ht="17.5" customHeight="1" x14ac:dyDescent="0.5">
      <c r="B63" s="93" t="s">
        <v>3</v>
      </c>
      <c r="C63" s="98" t="s">
        <v>196</v>
      </c>
      <c r="D63" s="99"/>
      <c r="E63" s="98" t="s">
        <v>246</v>
      </c>
      <c r="F63" s="99"/>
      <c r="G63" s="100" t="s">
        <v>242</v>
      </c>
      <c r="H63" s="99"/>
      <c r="I63" s="100" t="s">
        <v>245</v>
      </c>
      <c r="J63" s="99"/>
      <c r="K63" s="100" t="s">
        <v>146</v>
      </c>
      <c r="L63" s="99"/>
      <c r="M63" s="100" t="s">
        <v>239</v>
      </c>
      <c r="N63" s="99"/>
      <c r="O63" s="100" t="s">
        <v>32</v>
      </c>
      <c r="P63" s="99"/>
      <c r="Q63" s="22"/>
    </row>
    <row r="64" spans="2:21" s="23" customFormat="1" ht="17.5" customHeight="1" x14ac:dyDescent="0.5">
      <c r="B64" s="93"/>
      <c r="C64" s="98"/>
      <c r="D64" s="99"/>
      <c r="E64" s="98"/>
      <c r="F64" s="99"/>
      <c r="G64" s="100"/>
      <c r="H64" s="99"/>
      <c r="I64" s="100"/>
      <c r="J64" s="99"/>
      <c r="K64" s="100"/>
      <c r="L64" s="99"/>
      <c r="M64" s="100"/>
      <c r="N64" s="99"/>
      <c r="O64" s="100"/>
      <c r="P64" s="99"/>
      <c r="Q64" s="22"/>
    </row>
    <row r="65" spans="1:21" s="23" customFormat="1" ht="17.5" customHeight="1" x14ac:dyDescent="0.5">
      <c r="B65" s="93" t="s">
        <v>4</v>
      </c>
      <c r="C65" s="98" t="s">
        <v>97</v>
      </c>
      <c r="D65" s="99"/>
      <c r="E65" s="98" t="s">
        <v>77</v>
      </c>
      <c r="F65" s="99"/>
      <c r="G65" s="100" t="s">
        <v>244</v>
      </c>
      <c r="H65" s="99"/>
      <c r="I65" s="100" t="s">
        <v>53</v>
      </c>
      <c r="J65" s="99"/>
      <c r="K65" s="100" t="s">
        <v>201</v>
      </c>
      <c r="L65" s="99"/>
      <c r="M65" s="100" t="s">
        <v>38</v>
      </c>
      <c r="N65" s="99"/>
      <c r="O65" s="100" t="s">
        <v>32</v>
      </c>
      <c r="P65" s="99"/>
      <c r="Q65" s="22"/>
    </row>
    <row r="66" spans="1:21" s="23" customFormat="1" ht="17.5" customHeight="1" x14ac:dyDescent="0.5">
      <c r="B66" s="93"/>
      <c r="C66" s="98"/>
      <c r="D66" s="99"/>
      <c r="E66" s="98"/>
      <c r="F66" s="99"/>
      <c r="G66" s="100"/>
      <c r="H66" s="99"/>
      <c r="I66" s="100"/>
      <c r="J66" s="99"/>
      <c r="K66" s="100"/>
      <c r="L66" s="99"/>
      <c r="M66" s="100"/>
      <c r="N66" s="99"/>
      <c r="O66" s="100"/>
      <c r="P66" s="99"/>
      <c r="Q66" s="22"/>
    </row>
    <row r="67" spans="1:21" s="23" customFormat="1" ht="17.5" customHeight="1" x14ac:dyDescent="0.5">
      <c r="B67" s="93" t="s">
        <v>30</v>
      </c>
      <c r="C67" s="98" t="s">
        <v>57</v>
      </c>
      <c r="D67" s="99"/>
      <c r="E67" s="98" t="s">
        <v>38</v>
      </c>
      <c r="F67" s="99"/>
      <c r="G67" s="100" t="s">
        <v>85</v>
      </c>
      <c r="H67" s="99"/>
      <c r="I67" s="100" t="s">
        <v>38</v>
      </c>
      <c r="J67" s="99"/>
      <c r="K67" s="100" t="s">
        <v>181</v>
      </c>
      <c r="L67" s="99"/>
      <c r="M67" s="100"/>
      <c r="N67" s="99"/>
      <c r="O67" s="100" t="s">
        <v>32</v>
      </c>
      <c r="P67" s="99"/>
      <c r="Q67" s="22"/>
    </row>
    <row r="68" spans="1:21" s="23" customFormat="1" ht="17.5" customHeight="1" x14ac:dyDescent="0.5">
      <c r="B68" s="93"/>
      <c r="C68" s="98"/>
      <c r="D68" s="99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22"/>
    </row>
    <row r="69" spans="1:21" s="23" customFormat="1" ht="17.5" customHeight="1" x14ac:dyDescent="0.5">
      <c r="B69" s="93" t="s">
        <v>6</v>
      </c>
      <c r="C69" s="98" t="s">
        <v>66</v>
      </c>
      <c r="D69" s="99"/>
      <c r="E69" s="98" t="s">
        <v>40</v>
      </c>
      <c r="F69" s="99"/>
      <c r="G69" s="100" t="s">
        <v>84</v>
      </c>
      <c r="H69" s="99"/>
      <c r="I69" s="100" t="s">
        <v>204</v>
      </c>
      <c r="J69" s="99"/>
      <c r="K69" s="100" t="s">
        <v>119</v>
      </c>
      <c r="L69" s="99"/>
      <c r="M69" s="100"/>
      <c r="N69" s="99"/>
      <c r="O69" s="100" t="s">
        <v>32</v>
      </c>
      <c r="P69" s="99"/>
      <c r="Q69" s="22"/>
    </row>
    <row r="70" spans="1:21" s="23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22"/>
    </row>
    <row r="71" spans="1:21" s="23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22"/>
    </row>
    <row r="72" spans="1:21" s="23" customFormat="1" ht="17.5" customHeight="1" x14ac:dyDescent="0.5">
      <c r="B72" s="101"/>
      <c r="C72" s="102"/>
      <c r="D72" s="103"/>
      <c r="E72" s="102"/>
      <c r="F72" s="103"/>
      <c r="G72" s="104"/>
      <c r="H72" s="103"/>
      <c r="I72" s="104"/>
      <c r="J72" s="103"/>
      <c r="K72" s="104"/>
      <c r="L72" s="103"/>
      <c r="M72" s="104"/>
      <c r="N72" s="103"/>
      <c r="O72" s="104"/>
      <c r="P72" s="103"/>
      <c r="Q72" s="22"/>
    </row>
    <row r="73" spans="1:21" s="21" customFormat="1" ht="18" customHeight="1" x14ac:dyDescent="0.3">
      <c r="A73" s="51"/>
      <c r="B73" s="52"/>
      <c r="C73" s="55">
        <f>IF(DAY(JanSun1)=1,IF(AND(YEAR(JanSun1+29)=CalendarYear,MONTH(JanSun1+29)=1),JanSun1+29,""),IF(AND(YEAR(JanSun1+36)=CalendarYear,MONTH(JanSun1+36)=1),JanSun1+36,""))</f>
        <v>44592</v>
      </c>
      <c r="D73" s="91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22"/>
      <c r="T73" s="23"/>
      <c r="U73" s="24"/>
    </row>
    <row r="74" spans="1:21" s="23" customFormat="1" ht="17.5" customHeight="1" x14ac:dyDescent="0.5">
      <c r="B74" s="93" t="s">
        <v>1</v>
      </c>
      <c r="C74" s="105" t="s">
        <v>44</v>
      </c>
      <c r="D74" s="106"/>
      <c r="E74" s="107"/>
      <c r="F74" s="106"/>
      <c r="G74" s="249"/>
      <c r="H74" s="250"/>
      <c r="I74" s="250"/>
      <c r="J74" s="250"/>
      <c r="K74" s="250"/>
      <c r="L74" s="250"/>
      <c r="M74" s="250"/>
      <c r="N74" s="250"/>
      <c r="O74" s="250"/>
      <c r="P74" s="251"/>
      <c r="Q74" s="22"/>
    </row>
    <row r="75" spans="1:21" s="23" customFormat="1" ht="17.5" customHeight="1" x14ac:dyDescent="0.5">
      <c r="B75" s="93"/>
      <c r="C75" s="108"/>
      <c r="D75" s="109"/>
      <c r="E75" s="110"/>
      <c r="F75" s="109"/>
      <c r="G75" s="252"/>
      <c r="H75" s="253"/>
      <c r="I75" s="253"/>
      <c r="J75" s="253"/>
      <c r="K75" s="253"/>
      <c r="L75" s="253"/>
      <c r="M75" s="253"/>
      <c r="N75" s="253"/>
      <c r="O75" s="253"/>
      <c r="P75" s="254"/>
      <c r="Q75" s="22"/>
    </row>
    <row r="76" spans="1:21" s="23" customFormat="1" ht="17.5" customHeight="1" x14ac:dyDescent="0.5">
      <c r="B76" s="93" t="s">
        <v>3</v>
      </c>
      <c r="C76" s="108" t="s">
        <v>106</v>
      </c>
      <c r="D76" s="109"/>
      <c r="E76" s="110"/>
      <c r="F76" s="109"/>
      <c r="G76" s="252"/>
      <c r="H76" s="253"/>
      <c r="I76" s="253"/>
      <c r="J76" s="253"/>
      <c r="K76" s="253"/>
      <c r="L76" s="253"/>
      <c r="M76" s="253"/>
      <c r="N76" s="253"/>
      <c r="O76" s="253"/>
      <c r="P76" s="254"/>
      <c r="Q76" s="22"/>
    </row>
    <row r="77" spans="1:21" s="23" customFormat="1" ht="17.5" customHeight="1" x14ac:dyDescent="0.5">
      <c r="B77" s="93"/>
      <c r="C77" s="108"/>
      <c r="D77" s="109"/>
      <c r="E77" s="110"/>
      <c r="F77" s="109"/>
      <c r="G77" s="252"/>
      <c r="H77" s="253"/>
      <c r="I77" s="253"/>
      <c r="J77" s="253"/>
      <c r="K77" s="253"/>
      <c r="L77" s="253"/>
      <c r="M77" s="253"/>
      <c r="N77" s="253"/>
      <c r="O77" s="253"/>
      <c r="P77" s="254"/>
      <c r="Q77" s="22"/>
    </row>
    <row r="78" spans="1:21" s="23" customFormat="1" ht="17.5" customHeight="1" x14ac:dyDescent="0.5">
      <c r="B78" s="93" t="s">
        <v>4</v>
      </c>
      <c r="C78" s="108" t="s">
        <v>53</v>
      </c>
      <c r="D78" s="109"/>
      <c r="E78" s="110"/>
      <c r="F78" s="109"/>
      <c r="G78" s="252"/>
      <c r="H78" s="253"/>
      <c r="I78" s="253"/>
      <c r="J78" s="253"/>
      <c r="K78" s="253"/>
      <c r="L78" s="253"/>
      <c r="M78" s="253"/>
      <c r="N78" s="253"/>
      <c r="O78" s="253"/>
      <c r="P78" s="254"/>
      <c r="Q78" s="22"/>
    </row>
    <row r="79" spans="1:21" s="23" customFormat="1" ht="17.5" customHeight="1" x14ac:dyDescent="0.5">
      <c r="B79" s="93"/>
      <c r="C79" s="108"/>
      <c r="D79" s="109"/>
      <c r="E79" s="110"/>
      <c r="F79" s="109"/>
      <c r="G79" s="252"/>
      <c r="H79" s="253"/>
      <c r="I79" s="253"/>
      <c r="J79" s="253"/>
      <c r="K79" s="253"/>
      <c r="L79" s="253"/>
      <c r="M79" s="253"/>
      <c r="N79" s="253"/>
      <c r="O79" s="253"/>
      <c r="P79" s="254"/>
      <c r="Q79" s="22"/>
    </row>
    <row r="80" spans="1:21" s="23" customFormat="1" ht="17.5" customHeight="1" x14ac:dyDescent="0.5">
      <c r="B80" s="93" t="s">
        <v>30</v>
      </c>
      <c r="C80" s="108" t="s">
        <v>57</v>
      </c>
      <c r="D80" s="109"/>
      <c r="E80" s="110"/>
      <c r="F80" s="109"/>
      <c r="G80" s="252"/>
      <c r="H80" s="253"/>
      <c r="I80" s="253"/>
      <c r="J80" s="253"/>
      <c r="K80" s="253"/>
      <c r="L80" s="253"/>
      <c r="M80" s="253"/>
      <c r="N80" s="253"/>
      <c r="O80" s="253"/>
      <c r="P80" s="254"/>
      <c r="Q80" s="22"/>
    </row>
    <row r="81" spans="1:17" s="23" customFormat="1" ht="17.5" customHeight="1" x14ac:dyDescent="0.5">
      <c r="B81" s="93"/>
      <c r="C81" s="108"/>
      <c r="D81" s="109"/>
      <c r="E81" s="110"/>
      <c r="F81" s="109"/>
      <c r="G81" s="252"/>
      <c r="H81" s="253"/>
      <c r="I81" s="253"/>
      <c r="J81" s="253"/>
      <c r="K81" s="253"/>
      <c r="L81" s="253"/>
      <c r="M81" s="253"/>
      <c r="N81" s="253"/>
      <c r="O81" s="253"/>
      <c r="P81" s="254"/>
      <c r="Q81" s="22"/>
    </row>
    <row r="82" spans="1:17" s="23" customFormat="1" ht="17.5" customHeight="1" x14ac:dyDescent="0.5">
      <c r="B82" s="93" t="s">
        <v>6</v>
      </c>
      <c r="C82" s="108" t="s">
        <v>188</v>
      </c>
      <c r="D82" s="109"/>
      <c r="E82" s="110"/>
      <c r="F82" s="109"/>
      <c r="G82" s="252"/>
      <c r="H82" s="253"/>
      <c r="I82" s="253"/>
      <c r="J82" s="253"/>
      <c r="K82" s="253"/>
      <c r="L82" s="253"/>
      <c r="M82" s="253"/>
      <c r="N82" s="253"/>
      <c r="O82" s="253"/>
      <c r="P82" s="254"/>
      <c r="Q82" s="22"/>
    </row>
    <row r="83" spans="1:17" s="23" customFormat="1" ht="17.5" customHeight="1" x14ac:dyDescent="0.5">
      <c r="B83" s="93"/>
      <c r="C83" s="108"/>
      <c r="D83" s="109"/>
      <c r="E83" s="108"/>
      <c r="F83" s="109"/>
      <c r="G83" s="252"/>
      <c r="H83" s="253"/>
      <c r="I83" s="253"/>
      <c r="J83" s="253"/>
      <c r="K83" s="253"/>
      <c r="L83" s="253"/>
      <c r="M83" s="253"/>
      <c r="N83" s="253"/>
      <c r="O83" s="253"/>
      <c r="P83" s="254"/>
      <c r="Q83" s="22"/>
    </row>
    <row r="84" spans="1:17" s="23" customFormat="1" ht="17.5" customHeight="1" x14ac:dyDescent="0.5">
      <c r="B84" s="93"/>
      <c r="C84" s="108"/>
      <c r="D84" s="109"/>
      <c r="E84" s="108"/>
      <c r="F84" s="109"/>
      <c r="G84" s="252"/>
      <c r="H84" s="253"/>
      <c r="I84" s="253"/>
      <c r="J84" s="253"/>
      <c r="K84" s="253"/>
      <c r="L84" s="253"/>
      <c r="M84" s="253"/>
      <c r="N84" s="253"/>
      <c r="O84" s="253"/>
      <c r="P84" s="254"/>
      <c r="Q84" s="22"/>
    </row>
    <row r="85" spans="1:17" s="23" customFormat="1" ht="17.5" customHeight="1" x14ac:dyDescent="0.5">
      <c r="B85" s="101"/>
      <c r="C85" s="111"/>
      <c r="D85" s="112"/>
      <c r="E85" s="111"/>
      <c r="F85" s="112"/>
      <c r="G85" s="255"/>
      <c r="H85" s="256"/>
      <c r="I85" s="256"/>
      <c r="J85" s="256"/>
      <c r="K85" s="256"/>
      <c r="L85" s="256"/>
      <c r="M85" s="256"/>
      <c r="N85" s="256"/>
      <c r="O85" s="256"/>
      <c r="P85" s="257"/>
      <c r="Q85" s="22"/>
    </row>
    <row r="86" spans="1:17" ht="22.75" customHeight="1" x14ac:dyDescent="0.3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</row>
    <row r="87" spans="1:17" ht="22.75" customHeight="1" x14ac:dyDescent="0.3">
      <c r="A87" s="2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8">
    <mergeCell ref="B87:P87"/>
    <mergeCell ref="B86:P86"/>
    <mergeCell ref="BK4:BN5"/>
    <mergeCell ref="CB6:CC6"/>
    <mergeCell ref="R1:S4"/>
    <mergeCell ref="G74:P85"/>
    <mergeCell ref="B4:C5"/>
    <mergeCell ref="G6:H6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topLeftCell="A55" zoomScale="50" zoomScaleNormal="50" workbookViewId="0">
      <selection activeCell="F93" sqref="F93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0.3046875" style="1" customWidth="1"/>
    <col min="8" max="8" width="7.4609375" style="14" customWidth="1"/>
    <col min="9" max="9" width="26.84375" style="1" customWidth="1"/>
    <col min="10" max="10" width="7.4609375" style="14" customWidth="1"/>
    <col min="11" max="11" width="30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258"/>
      <c r="C4" s="258"/>
      <c r="R4" s="46"/>
      <c r="S4" s="46"/>
      <c r="BB4" s="9"/>
      <c r="BC4" s="9"/>
      <c r="BD4" s="9"/>
      <c r="BK4" s="246"/>
      <c r="BL4" s="246"/>
      <c r="BM4" s="246"/>
      <c r="BN4" s="246"/>
      <c r="CG4" s="11"/>
      <c r="CH4" s="13"/>
      <c r="CI4" s="11"/>
    </row>
    <row r="5" spans="1:88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246"/>
      <c r="BL5" s="246"/>
      <c r="BM5" s="246"/>
      <c r="BN5" s="246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59" t="s">
        <v>23</v>
      </c>
      <c r="H6" s="259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247"/>
      <c r="CC6" s="247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 t="str">
        <f>IF(DAY(OctSun1)=1,"",IF(AND(YEAR(OctSun1+5)=CalendarYear,MONTH(OctSun1+5)=10),OctSun1+5,""))</f>
        <v/>
      </c>
      <c r="L8" s="61" t="s">
        <v>29</v>
      </c>
      <c r="M8" s="56">
        <f>IF(DAY(OctSun1)=1,"",IF(AND(YEAR(OctSun1+6)=CalendarYear,MONTH(OctSun1+6)=10),OctSun1+6,""))</f>
        <v>44835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44836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64" t="s">
        <v>31</v>
      </c>
      <c r="L9" s="65"/>
      <c r="M9" s="64" t="s">
        <v>42</v>
      </c>
      <c r="N9" s="65"/>
      <c r="O9" s="64" t="s">
        <v>32</v>
      </c>
      <c r="P9" s="26"/>
      <c r="Q9" s="22"/>
    </row>
    <row r="10" spans="1:88" s="23" customFormat="1" ht="17.5" customHeight="1" x14ac:dyDescent="0.45">
      <c r="B10" s="50"/>
      <c r="C10" s="28"/>
      <c r="D10" s="29"/>
      <c r="E10" s="28"/>
      <c r="F10" s="29"/>
      <c r="G10" s="30"/>
      <c r="H10" s="29"/>
      <c r="I10" s="30"/>
      <c r="J10" s="29"/>
      <c r="K10" s="66"/>
      <c r="L10" s="67"/>
      <c r="M10" s="66"/>
      <c r="N10" s="67"/>
      <c r="O10" s="66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66" t="s">
        <v>33</v>
      </c>
      <c r="L11" s="67"/>
      <c r="M11" s="66" t="s">
        <v>34</v>
      </c>
      <c r="N11" s="67"/>
      <c r="O11" s="66" t="s">
        <v>32</v>
      </c>
      <c r="P11" s="29"/>
      <c r="Q11" s="22"/>
    </row>
    <row r="12" spans="1:88" s="23" customFormat="1" ht="17.5" customHeight="1" x14ac:dyDescent="0.45">
      <c r="B12" s="50"/>
      <c r="C12" s="28"/>
      <c r="D12" s="29"/>
      <c r="E12" s="28"/>
      <c r="F12" s="29"/>
      <c r="G12" s="30"/>
      <c r="H12" s="29"/>
      <c r="I12" s="30"/>
      <c r="J12" s="29"/>
      <c r="K12" s="66"/>
      <c r="L12" s="67"/>
      <c r="M12" s="66"/>
      <c r="N12" s="67"/>
      <c r="O12" s="66"/>
      <c r="P12" s="29"/>
      <c r="Q12" s="22"/>
    </row>
    <row r="13" spans="1:88" s="23" customFormat="1" ht="17.5" customHeight="1" x14ac:dyDescent="0.45">
      <c r="B13" s="50" t="s">
        <v>4</v>
      </c>
      <c r="C13" s="28"/>
      <c r="D13" s="29"/>
      <c r="E13" s="28"/>
      <c r="F13" s="29"/>
      <c r="G13" s="30"/>
      <c r="H13" s="29"/>
      <c r="I13" s="30"/>
      <c r="J13" s="29"/>
      <c r="K13" s="66" t="s">
        <v>35</v>
      </c>
      <c r="L13" s="67"/>
      <c r="M13" s="66" t="s">
        <v>36</v>
      </c>
      <c r="N13" s="67"/>
      <c r="O13" s="66" t="s">
        <v>32</v>
      </c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66"/>
      <c r="L14" s="67"/>
      <c r="M14" s="66"/>
      <c r="N14" s="67"/>
      <c r="O14" s="66"/>
      <c r="P14" s="29"/>
      <c r="Q14" s="22"/>
    </row>
    <row r="15" spans="1:88" s="23" customFormat="1" ht="17.5" customHeight="1" x14ac:dyDescent="0.45">
      <c r="B15" s="50" t="s">
        <v>30</v>
      </c>
      <c r="C15" s="28"/>
      <c r="D15" s="29"/>
      <c r="E15" s="28"/>
      <c r="F15" s="29"/>
      <c r="G15" s="30"/>
      <c r="H15" s="29"/>
      <c r="I15" s="30"/>
      <c r="J15" s="29"/>
      <c r="K15" s="66" t="s">
        <v>37</v>
      </c>
      <c r="L15" s="67"/>
      <c r="M15" s="66" t="s">
        <v>38</v>
      </c>
      <c r="N15" s="67"/>
      <c r="O15" s="66" t="s">
        <v>32</v>
      </c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66"/>
      <c r="L16" s="67"/>
      <c r="M16" s="66"/>
      <c r="N16" s="67"/>
      <c r="O16" s="66"/>
      <c r="P16" s="29"/>
      <c r="Q16" s="22"/>
    </row>
    <row r="17" spans="2:21" s="23" customFormat="1" ht="17.5" customHeight="1" x14ac:dyDescent="0.45">
      <c r="B17" s="50" t="s">
        <v>6</v>
      </c>
      <c r="C17" s="28"/>
      <c r="D17" s="29"/>
      <c r="E17" s="28"/>
      <c r="F17" s="29"/>
      <c r="G17" s="30"/>
      <c r="H17" s="29"/>
      <c r="I17" s="30"/>
      <c r="J17" s="29"/>
      <c r="K17" s="66" t="s">
        <v>39</v>
      </c>
      <c r="L17" s="67"/>
      <c r="M17" s="66" t="s">
        <v>40</v>
      </c>
      <c r="N17" s="67"/>
      <c r="O17" s="66" t="s">
        <v>32</v>
      </c>
      <c r="P17" s="29"/>
      <c r="Q17" s="22"/>
    </row>
    <row r="18" spans="2:21" s="23" customFormat="1" ht="17.5" customHeight="1" x14ac:dyDescent="0.45">
      <c r="B18" s="50"/>
      <c r="C18" s="28"/>
      <c r="D18" s="29"/>
      <c r="E18" s="28"/>
      <c r="F18" s="29"/>
      <c r="G18" s="30"/>
      <c r="H18" s="29"/>
      <c r="I18" s="30"/>
      <c r="J18" s="29"/>
      <c r="K18" s="66"/>
      <c r="L18" s="67"/>
      <c r="M18" s="66"/>
      <c r="N18" s="67"/>
      <c r="O18" s="66"/>
      <c r="P18" s="29"/>
      <c r="Q18" s="22"/>
    </row>
    <row r="19" spans="2:21" s="23" customFormat="1" ht="17.5" customHeight="1" x14ac:dyDescent="0.45">
      <c r="B19" s="50"/>
      <c r="C19" s="28"/>
      <c r="D19" s="29"/>
      <c r="E19" s="28"/>
      <c r="F19" s="29"/>
      <c r="G19" s="30"/>
      <c r="H19" s="29"/>
      <c r="I19" s="30"/>
      <c r="J19" s="29"/>
      <c r="K19" s="66"/>
      <c r="L19" s="67"/>
      <c r="M19" s="66"/>
      <c r="N19" s="67"/>
      <c r="O19" s="66"/>
      <c r="P19" s="29"/>
      <c r="Q19" s="22"/>
    </row>
    <row r="20" spans="2:21" s="23" customFormat="1" ht="17.5" customHeight="1" x14ac:dyDescent="0.45">
      <c r="B20" s="62"/>
      <c r="C20" s="31"/>
      <c r="D20" s="32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63"/>
      <c r="C21" s="55">
        <f>IF(DAY(OctSun1)=1,IF(AND(YEAR(OctSun1+1)=CalendarYear,MONTH(OctSun1+1)=10),OctSun1+1,""),IF(AND(YEAR(OctSun1+8)=CalendarYear,MONTH(OctSun1+8)=10),OctSun1+8,""))</f>
        <v>44837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44838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44839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44840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44841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44842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44843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68" t="s">
        <v>41</v>
      </c>
      <c r="D22" s="69"/>
      <c r="E22" s="68" t="s">
        <v>44</v>
      </c>
      <c r="F22" s="69"/>
      <c r="G22" s="70" t="s">
        <v>43</v>
      </c>
      <c r="H22" s="69"/>
      <c r="I22" s="70" t="s">
        <v>42</v>
      </c>
      <c r="J22" s="69"/>
      <c r="K22" s="70" t="s">
        <v>45</v>
      </c>
      <c r="L22" s="69"/>
      <c r="M22" s="70" t="s">
        <v>31</v>
      </c>
      <c r="N22" s="69"/>
      <c r="O22" s="70" t="s">
        <v>32</v>
      </c>
      <c r="P22" s="35"/>
      <c r="Q22" s="22"/>
    </row>
    <row r="23" spans="2:21" s="23" customFormat="1" ht="17.5" customHeight="1" x14ac:dyDescent="0.45">
      <c r="B23" s="50"/>
      <c r="C23" s="71"/>
      <c r="D23" s="72"/>
      <c r="E23" s="71"/>
      <c r="F23" s="72"/>
      <c r="G23" s="73"/>
      <c r="H23" s="72"/>
      <c r="I23" s="73"/>
      <c r="J23" s="72"/>
      <c r="K23" s="73"/>
      <c r="L23" s="72"/>
      <c r="M23" s="73"/>
      <c r="N23" s="72"/>
      <c r="O23" s="73"/>
      <c r="P23" s="38"/>
      <c r="Q23" s="22"/>
    </row>
    <row r="24" spans="2:21" s="23" customFormat="1" ht="17.5" customHeight="1" x14ac:dyDescent="0.45">
      <c r="B24" s="50" t="s">
        <v>3</v>
      </c>
      <c r="C24" s="71" t="s">
        <v>46</v>
      </c>
      <c r="D24" s="72"/>
      <c r="E24" s="71" t="s">
        <v>47</v>
      </c>
      <c r="F24" s="72"/>
      <c r="G24" s="73" t="s">
        <v>48</v>
      </c>
      <c r="H24" s="72"/>
      <c r="I24" s="73" t="s">
        <v>49</v>
      </c>
      <c r="J24" s="72"/>
      <c r="K24" s="73" t="s">
        <v>50</v>
      </c>
      <c r="L24" s="72"/>
      <c r="M24" s="73" t="s">
        <v>51</v>
      </c>
      <c r="N24" s="72"/>
      <c r="O24" s="73" t="s">
        <v>32</v>
      </c>
      <c r="P24" s="38"/>
      <c r="Q24" s="22"/>
    </row>
    <row r="25" spans="2:21" s="23" customFormat="1" ht="17.5" customHeight="1" x14ac:dyDescent="0.45">
      <c r="B25" s="50"/>
      <c r="C25" s="71"/>
      <c r="D25" s="72"/>
      <c r="E25" s="71"/>
      <c r="F25" s="72"/>
      <c r="G25" s="73"/>
      <c r="H25" s="72"/>
      <c r="I25" s="73"/>
      <c r="J25" s="72"/>
      <c r="K25" s="73"/>
      <c r="L25" s="72"/>
      <c r="M25" s="73"/>
      <c r="N25" s="72"/>
      <c r="O25" s="73"/>
      <c r="P25" s="38"/>
      <c r="Q25" s="22"/>
    </row>
    <row r="26" spans="2:21" s="23" customFormat="1" ht="17.5" customHeight="1" x14ac:dyDescent="0.45">
      <c r="B26" s="50" t="s">
        <v>4</v>
      </c>
      <c r="C26" s="71" t="s">
        <v>52</v>
      </c>
      <c r="D26" s="72"/>
      <c r="E26" s="71" t="s">
        <v>53</v>
      </c>
      <c r="F26" s="72"/>
      <c r="G26" s="73" t="s">
        <v>54</v>
      </c>
      <c r="H26" s="72"/>
      <c r="I26" s="73" t="s">
        <v>55</v>
      </c>
      <c r="J26" s="72"/>
      <c r="K26" s="73" t="s">
        <v>56</v>
      </c>
      <c r="L26" s="72"/>
      <c r="M26" s="73" t="s">
        <v>38</v>
      </c>
      <c r="N26" s="72"/>
      <c r="O26" s="73" t="s">
        <v>32</v>
      </c>
      <c r="P26" s="38"/>
      <c r="Q26" s="22"/>
    </row>
    <row r="27" spans="2:21" s="23" customFormat="1" ht="17.5" customHeight="1" x14ac:dyDescent="0.45">
      <c r="B27" s="50"/>
      <c r="C27" s="71"/>
      <c r="D27" s="72"/>
      <c r="E27" s="71"/>
      <c r="F27" s="72"/>
      <c r="G27" s="73"/>
      <c r="H27" s="72"/>
      <c r="I27" s="73"/>
      <c r="J27" s="72"/>
      <c r="K27" s="73"/>
      <c r="L27" s="72"/>
      <c r="M27" s="73"/>
      <c r="N27" s="72"/>
      <c r="O27" s="73"/>
      <c r="P27" s="38"/>
      <c r="Q27" s="22"/>
    </row>
    <row r="28" spans="2:21" s="23" customFormat="1" ht="17.5" customHeight="1" x14ac:dyDescent="0.45">
      <c r="B28" s="50" t="s">
        <v>30</v>
      </c>
      <c r="C28" s="71" t="s">
        <v>57</v>
      </c>
      <c r="D28" s="72"/>
      <c r="E28" s="71" t="s">
        <v>58</v>
      </c>
      <c r="F28" s="72"/>
      <c r="G28" s="73" t="s">
        <v>59</v>
      </c>
      <c r="H28" s="72"/>
      <c r="I28" s="73" t="s">
        <v>38</v>
      </c>
      <c r="J28" s="72"/>
      <c r="K28" s="73" t="s">
        <v>60</v>
      </c>
      <c r="L28" s="72"/>
      <c r="M28" s="73" t="s">
        <v>61</v>
      </c>
      <c r="N28" s="72"/>
      <c r="O28" s="73" t="s">
        <v>32</v>
      </c>
      <c r="P28" s="38"/>
      <c r="Q28" s="22"/>
    </row>
    <row r="29" spans="2:21" s="23" customFormat="1" ht="17.5" customHeight="1" x14ac:dyDescent="0.45">
      <c r="B29" s="50"/>
      <c r="C29" s="71"/>
      <c r="D29" s="72"/>
      <c r="E29" s="71"/>
      <c r="F29" s="72"/>
      <c r="G29" s="73"/>
      <c r="H29" s="72"/>
      <c r="I29" s="73"/>
      <c r="J29" s="72"/>
      <c r="K29" s="73"/>
      <c r="L29" s="72"/>
      <c r="M29" s="73"/>
      <c r="N29" s="72"/>
      <c r="O29" s="73"/>
      <c r="P29" s="38"/>
      <c r="Q29" s="22"/>
    </row>
    <row r="30" spans="2:21" s="23" customFormat="1" ht="17.5" customHeight="1" x14ac:dyDescent="0.45">
      <c r="B30" s="50" t="s">
        <v>6</v>
      </c>
      <c r="C30" s="71" t="s">
        <v>62</v>
      </c>
      <c r="D30" s="72"/>
      <c r="E30" s="71" t="s">
        <v>63</v>
      </c>
      <c r="F30" s="72"/>
      <c r="G30" s="73" t="s">
        <v>64</v>
      </c>
      <c r="H30" s="72"/>
      <c r="I30" s="73" t="s">
        <v>65</v>
      </c>
      <c r="J30" s="72"/>
      <c r="K30" s="73" t="s">
        <v>66</v>
      </c>
      <c r="L30" s="72"/>
      <c r="M30" s="73" t="s">
        <v>40</v>
      </c>
      <c r="N30" s="72"/>
      <c r="O30" s="73" t="s">
        <v>32</v>
      </c>
      <c r="P30" s="38"/>
      <c r="Q30" s="22"/>
    </row>
    <row r="31" spans="2:21" s="23" customFormat="1" ht="17.5" customHeight="1" x14ac:dyDescent="0.45">
      <c r="B31" s="50"/>
      <c r="C31" s="71"/>
      <c r="D31" s="72"/>
      <c r="E31" s="71"/>
      <c r="F31" s="72"/>
      <c r="G31" s="73"/>
      <c r="H31" s="72"/>
      <c r="I31" s="73"/>
      <c r="J31" s="72"/>
      <c r="K31" s="73"/>
      <c r="L31" s="72"/>
      <c r="M31" s="73"/>
      <c r="N31" s="72"/>
      <c r="O31" s="73"/>
      <c r="P31" s="38"/>
      <c r="Q31" s="22"/>
    </row>
    <row r="32" spans="2:21" s="23" customFormat="1" ht="17.5" customHeight="1" x14ac:dyDescent="0.45">
      <c r="B32" s="50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62"/>
      <c r="C33" s="40"/>
      <c r="D33" s="41"/>
      <c r="E33" s="40"/>
      <c r="F33" s="41"/>
      <c r="G33" s="42"/>
      <c r="H33" s="41"/>
      <c r="I33" s="42"/>
      <c r="J33" s="41"/>
      <c r="K33" s="42"/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63"/>
      <c r="C34" s="55">
        <f>IF(DAY(OctSun1)=1,IF(AND(YEAR(OctSun1+8)=CalendarYear,MONTH(OctSun1+8)=10),OctSun1+8,""),IF(AND(YEAR(OctSun1+15)=CalendarYear,MONTH(OctSun1+15)=10),OctSun1+15,""))</f>
        <v>44844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44845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44846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44847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44848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44849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44850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74" t="s">
        <v>105</v>
      </c>
      <c r="D35" s="65"/>
      <c r="E35" s="74" t="s">
        <v>124</v>
      </c>
      <c r="F35" s="65"/>
      <c r="G35" s="64" t="s">
        <v>125</v>
      </c>
      <c r="H35" s="65"/>
      <c r="I35" s="64" t="s">
        <v>67</v>
      </c>
      <c r="J35" s="65"/>
      <c r="K35" s="64" t="s">
        <v>68</v>
      </c>
      <c r="L35" s="65"/>
      <c r="M35" s="64" t="s">
        <v>44</v>
      </c>
      <c r="N35" s="65"/>
      <c r="O35" s="64" t="s">
        <v>32</v>
      </c>
      <c r="P35" s="26"/>
      <c r="Q35" s="22"/>
    </row>
    <row r="36" spans="2:21" s="23" customFormat="1" ht="17.5" customHeight="1" x14ac:dyDescent="0.45">
      <c r="B36" s="50"/>
      <c r="C36" s="75"/>
      <c r="D36" s="67"/>
      <c r="E36" s="75"/>
      <c r="F36" s="67"/>
      <c r="G36" s="66"/>
      <c r="H36" s="67"/>
      <c r="I36" s="66"/>
      <c r="J36" s="67"/>
      <c r="K36" s="66"/>
      <c r="L36" s="67"/>
      <c r="M36" s="66"/>
      <c r="N36" s="67"/>
      <c r="O36" s="66"/>
      <c r="P36" s="29"/>
      <c r="Q36" s="22"/>
    </row>
    <row r="37" spans="2:21" s="23" customFormat="1" ht="17.5" customHeight="1" x14ac:dyDescent="0.45">
      <c r="B37" s="50" t="s">
        <v>3</v>
      </c>
      <c r="C37" s="75" t="s">
        <v>69</v>
      </c>
      <c r="D37" s="67"/>
      <c r="E37" s="75" t="s">
        <v>70</v>
      </c>
      <c r="F37" s="67"/>
      <c r="G37" s="66" t="s">
        <v>71</v>
      </c>
      <c r="H37" s="67"/>
      <c r="I37" s="66" t="s">
        <v>72</v>
      </c>
      <c r="J37" s="67"/>
      <c r="K37" s="66" t="s">
        <v>73</v>
      </c>
      <c r="L37" s="67"/>
      <c r="M37" s="66" t="s">
        <v>74</v>
      </c>
      <c r="N37" s="67"/>
      <c r="O37" s="66" t="s">
        <v>32</v>
      </c>
      <c r="P37" s="29"/>
      <c r="Q37" s="22"/>
    </row>
    <row r="38" spans="2:21" s="23" customFormat="1" ht="17.5" customHeight="1" x14ac:dyDescent="0.45">
      <c r="B38" s="50"/>
      <c r="C38" s="75"/>
      <c r="D38" s="67"/>
      <c r="E38" s="75"/>
      <c r="F38" s="67"/>
      <c r="G38" s="66"/>
      <c r="H38" s="67"/>
      <c r="I38" s="66"/>
      <c r="J38" s="67"/>
      <c r="K38" s="66"/>
      <c r="L38" s="67"/>
      <c r="M38" s="66"/>
      <c r="N38" s="67"/>
      <c r="O38" s="66"/>
      <c r="P38" s="29"/>
      <c r="Q38" s="22"/>
    </row>
    <row r="39" spans="2:21" s="23" customFormat="1" ht="17.5" customHeight="1" x14ac:dyDescent="0.45">
      <c r="B39" s="50" t="s">
        <v>4</v>
      </c>
      <c r="C39" s="75" t="s">
        <v>75</v>
      </c>
      <c r="D39" s="67"/>
      <c r="E39" s="75" t="s">
        <v>53</v>
      </c>
      <c r="F39" s="67"/>
      <c r="G39" s="66" t="s">
        <v>76</v>
      </c>
      <c r="H39" s="67"/>
      <c r="I39" s="66" t="s">
        <v>77</v>
      </c>
      <c r="J39" s="67"/>
      <c r="K39" s="66" t="s">
        <v>35</v>
      </c>
      <c r="L39" s="67"/>
      <c r="M39" s="66" t="s">
        <v>78</v>
      </c>
      <c r="N39" s="67"/>
      <c r="O39" s="66" t="s">
        <v>32</v>
      </c>
      <c r="P39" s="29"/>
      <c r="Q39" s="22"/>
    </row>
    <row r="40" spans="2:21" s="23" customFormat="1" ht="17.5" customHeight="1" x14ac:dyDescent="0.45">
      <c r="B40" s="50"/>
      <c r="C40" s="75"/>
      <c r="D40" s="67"/>
      <c r="E40" s="75"/>
      <c r="F40" s="67"/>
      <c r="G40" s="66"/>
      <c r="H40" s="67"/>
      <c r="I40" s="66"/>
      <c r="J40" s="67"/>
      <c r="K40" s="66"/>
      <c r="L40" s="67"/>
      <c r="M40" s="66"/>
      <c r="N40" s="67"/>
      <c r="O40" s="66"/>
      <c r="P40" s="29"/>
      <c r="Q40" s="22"/>
    </row>
    <row r="41" spans="2:21" s="23" customFormat="1" ht="17.5" customHeight="1" x14ac:dyDescent="0.45">
      <c r="B41" s="50" t="s">
        <v>30</v>
      </c>
      <c r="C41" s="75" t="s">
        <v>39</v>
      </c>
      <c r="D41" s="67"/>
      <c r="E41" s="75" t="s">
        <v>79</v>
      </c>
      <c r="F41" s="67"/>
      <c r="G41" s="66" t="s">
        <v>57</v>
      </c>
      <c r="H41" s="67"/>
      <c r="I41" s="66" t="s">
        <v>38</v>
      </c>
      <c r="J41" s="67"/>
      <c r="K41" s="66" t="s">
        <v>80</v>
      </c>
      <c r="L41" s="67"/>
      <c r="M41" s="66" t="s">
        <v>63</v>
      </c>
      <c r="N41" s="67"/>
      <c r="O41" s="66" t="s">
        <v>32</v>
      </c>
      <c r="P41" s="29"/>
      <c r="Q41" s="22"/>
    </row>
    <row r="42" spans="2:21" s="23" customFormat="1" ht="17.5" customHeight="1" x14ac:dyDescent="0.45">
      <c r="B42" s="50"/>
      <c r="C42" s="75"/>
      <c r="D42" s="67"/>
      <c r="E42" s="75"/>
      <c r="F42" s="67"/>
      <c r="G42" s="66"/>
      <c r="H42" s="67"/>
      <c r="I42" s="66"/>
      <c r="J42" s="67"/>
      <c r="K42" s="66"/>
      <c r="L42" s="67"/>
      <c r="M42" s="66"/>
      <c r="N42" s="67"/>
      <c r="O42" s="66"/>
      <c r="P42" s="29"/>
      <c r="Q42" s="22"/>
    </row>
    <row r="43" spans="2:21" s="23" customFormat="1" ht="17.5" customHeight="1" x14ac:dyDescent="0.45">
      <c r="B43" s="50" t="s">
        <v>6</v>
      </c>
      <c r="C43" s="75" t="s">
        <v>81</v>
      </c>
      <c r="D43" s="67"/>
      <c r="E43" s="75" t="s">
        <v>129</v>
      </c>
      <c r="F43" s="67"/>
      <c r="G43" s="66" t="s">
        <v>82</v>
      </c>
      <c r="H43" s="67"/>
      <c r="I43" s="66" t="s">
        <v>83</v>
      </c>
      <c r="J43" s="67"/>
      <c r="K43" s="66" t="s">
        <v>84</v>
      </c>
      <c r="L43" s="67"/>
      <c r="M43" s="66" t="s">
        <v>85</v>
      </c>
      <c r="N43" s="67"/>
      <c r="O43" s="66" t="s">
        <v>32</v>
      </c>
      <c r="P43" s="29"/>
      <c r="Q43" s="22"/>
    </row>
    <row r="44" spans="2:21" s="23" customFormat="1" ht="17.5" customHeight="1" x14ac:dyDescent="0.45">
      <c r="B44" s="50"/>
      <c r="C44" s="75"/>
      <c r="D44" s="67"/>
      <c r="E44" s="75"/>
      <c r="F44" s="67"/>
      <c r="G44" s="66"/>
      <c r="H44" s="67"/>
      <c r="I44" s="66"/>
      <c r="J44" s="67"/>
      <c r="K44" s="66"/>
      <c r="L44" s="67"/>
      <c r="M44" s="66"/>
      <c r="N44" s="67"/>
      <c r="O44" s="66"/>
      <c r="P44" s="29"/>
      <c r="Q44" s="22"/>
    </row>
    <row r="45" spans="2:21" s="23" customFormat="1" ht="17.5" customHeight="1" x14ac:dyDescent="0.45">
      <c r="B45" s="50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62"/>
      <c r="C46" s="31"/>
      <c r="D46" s="32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63"/>
      <c r="C47" s="55">
        <f>IF(DAY(OctSun1)=1,IF(AND(YEAR(OctSun1+15)=CalendarYear,MONTH(OctSun1+15)=10),OctSun1+15,""),IF(AND(YEAR(OctSun1+22)=CalendarYear,MONTH(OctSun1+22)=10),OctSun1+22,""))</f>
        <v>44851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44852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44853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44854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44855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44856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44857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68" t="s">
        <v>41</v>
      </c>
      <c r="D48" s="69"/>
      <c r="E48" s="68" t="s">
        <v>86</v>
      </c>
      <c r="F48" s="69"/>
      <c r="G48" s="70" t="s">
        <v>43</v>
      </c>
      <c r="H48" s="69"/>
      <c r="I48" s="70" t="s">
        <v>87</v>
      </c>
      <c r="J48" s="69"/>
      <c r="K48" s="70" t="s">
        <v>88</v>
      </c>
      <c r="L48" s="69"/>
      <c r="M48" s="70" t="s">
        <v>89</v>
      </c>
      <c r="N48" s="69"/>
      <c r="O48" s="70" t="s">
        <v>32</v>
      </c>
      <c r="P48" s="35"/>
      <c r="Q48" s="22"/>
    </row>
    <row r="49" spans="2:21" s="23" customFormat="1" ht="17.5" customHeight="1" x14ac:dyDescent="0.45">
      <c r="B49" s="50"/>
      <c r="C49" s="71"/>
      <c r="D49" s="72"/>
      <c r="E49" s="71" t="s">
        <v>90</v>
      </c>
      <c r="F49" s="72"/>
      <c r="G49" s="73"/>
      <c r="H49" s="72"/>
      <c r="I49" s="73"/>
      <c r="J49" s="72"/>
      <c r="K49" s="73"/>
      <c r="L49" s="72"/>
      <c r="M49" s="73"/>
      <c r="N49" s="72"/>
      <c r="O49" s="73"/>
      <c r="P49" s="38"/>
      <c r="Q49" s="22"/>
    </row>
    <row r="50" spans="2:21" s="23" customFormat="1" ht="17.5" customHeight="1" x14ac:dyDescent="0.45">
      <c r="B50" s="50" t="s">
        <v>3</v>
      </c>
      <c r="C50" s="71" t="s">
        <v>91</v>
      </c>
      <c r="D50" s="72"/>
      <c r="E50" s="71" t="s">
        <v>92</v>
      </c>
      <c r="F50" s="72"/>
      <c r="G50" s="73" t="s">
        <v>126</v>
      </c>
      <c r="H50" s="72"/>
      <c r="I50" s="73" t="s">
        <v>93</v>
      </c>
      <c r="J50" s="72"/>
      <c r="K50" s="73" t="s">
        <v>94</v>
      </c>
      <c r="L50" s="72"/>
      <c r="M50" s="73" t="s">
        <v>95</v>
      </c>
      <c r="N50" s="72"/>
      <c r="O50" s="73" t="s">
        <v>32</v>
      </c>
      <c r="P50" s="38"/>
      <c r="Q50" s="22"/>
    </row>
    <row r="51" spans="2:21" s="23" customFormat="1" ht="17.5" customHeight="1" x14ac:dyDescent="0.45">
      <c r="B51" s="50"/>
      <c r="C51" s="71"/>
      <c r="D51" s="72"/>
      <c r="E51" s="71"/>
      <c r="F51" s="72"/>
      <c r="G51" s="73"/>
      <c r="H51" s="72"/>
      <c r="I51" s="73"/>
      <c r="J51" s="72"/>
      <c r="K51" s="73"/>
      <c r="L51" s="72"/>
      <c r="M51" s="73"/>
      <c r="N51" s="72"/>
      <c r="O51" s="73"/>
      <c r="P51" s="38"/>
      <c r="Q51" s="22"/>
    </row>
    <row r="52" spans="2:21" s="23" customFormat="1" ht="17.5" customHeight="1" x14ac:dyDescent="0.45">
      <c r="B52" s="50" t="s">
        <v>4</v>
      </c>
      <c r="C52" s="71" t="s">
        <v>128</v>
      </c>
      <c r="D52" s="72"/>
      <c r="E52" s="71" t="s">
        <v>97</v>
      </c>
      <c r="F52" s="72"/>
      <c r="G52" s="73" t="s">
        <v>55</v>
      </c>
      <c r="H52" s="72"/>
      <c r="I52" s="73" t="s">
        <v>96</v>
      </c>
      <c r="J52" s="72"/>
      <c r="K52" s="73" t="s">
        <v>97</v>
      </c>
      <c r="L52" s="72"/>
      <c r="M52" s="73" t="s">
        <v>98</v>
      </c>
      <c r="N52" s="72"/>
      <c r="O52" s="73" t="s">
        <v>32</v>
      </c>
      <c r="P52" s="38"/>
      <c r="Q52" s="22"/>
    </row>
    <row r="53" spans="2:21" s="23" customFormat="1" ht="17.5" customHeight="1" x14ac:dyDescent="0.45">
      <c r="B53" s="50"/>
      <c r="C53" s="71"/>
      <c r="D53" s="72"/>
      <c r="E53" s="71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38"/>
      <c r="Q53" s="22"/>
    </row>
    <row r="54" spans="2:21" s="23" customFormat="1" ht="17.5" customHeight="1" x14ac:dyDescent="0.45">
      <c r="B54" s="50" t="s">
        <v>30</v>
      </c>
      <c r="C54" s="71" t="s">
        <v>57</v>
      </c>
      <c r="D54" s="72"/>
      <c r="E54" s="71" t="s">
        <v>85</v>
      </c>
      <c r="F54" s="72"/>
      <c r="G54" s="73" t="s">
        <v>99</v>
      </c>
      <c r="H54" s="72"/>
      <c r="I54" s="73" t="s">
        <v>100</v>
      </c>
      <c r="J54" s="72"/>
      <c r="K54" s="73" t="s">
        <v>101</v>
      </c>
      <c r="L54" s="72"/>
      <c r="M54" s="73" t="s">
        <v>38</v>
      </c>
      <c r="N54" s="72"/>
      <c r="O54" s="73" t="s">
        <v>32</v>
      </c>
      <c r="P54" s="38"/>
      <c r="Q54" s="22"/>
    </row>
    <row r="55" spans="2:21" s="23" customFormat="1" ht="17.5" customHeight="1" x14ac:dyDescent="0.45">
      <c r="B55" s="50"/>
      <c r="C55" s="71"/>
      <c r="D55" s="72"/>
      <c r="E55" s="71"/>
      <c r="F55" s="72"/>
      <c r="G55" s="73"/>
      <c r="H55" s="72"/>
      <c r="I55" s="73"/>
      <c r="J55" s="72"/>
      <c r="K55" s="73"/>
      <c r="L55" s="72"/>
      <c r="M55" s="73"/>
      <c r="N55" s="72"/>
      <c r="O55" s="73"/>
      <c r="P55" s="38"/>
      <c r="Q55" s="22"/>
    </row>
    <row r="56" spans="2:21" s="23" customFormat="1" ht="17.5" customHeight="1" x14ac:dyDescent="0.45">
      <c r="B56" s="50" t="s">
        <v>6</v>
      </c>
      <c r="C56" s="71" t="s">
        <v>40</v>
      </c>
      <c r="D56" s="72"/>
      <c r="E56" s="71" t="s">
        <v>102</v>
      </c>
      <c r="F56" s="72"/>
      <c r="G56" s="73" t="s">
        <v>38</v>
      </c>
      <c r="H56" s="72"/>
      <c r="I56" s="73" t="s">
        <v>127</v>
      </c>
      <c r="J56" s="72"/>
      <c r="K56" s="73" t="s">
        <v>103</v>
      </c>
      <c r="L56" s="72"/>
      <c r="M56" s="73" t="s">
        <v>66</v>
      </c>
      <c r="N56" s="72"/>
      <c r="O56" s="73" t="s">
        <v>32</v>
      </c>
      <c r="P56" s="38"/>
      <c r="Q56" s="22"/>
    </row>
    <row r="57" spans="2:21" s="23" customFormat="1" ht="17.5" customHeight="1" x14ac:dyDescent="0.45">
      <c r="B57" s="50"/>
      <c r="C57" s="71"/>
      <c r="D57" s="72"/>
      <c r="E57" s="71"/>
      <c r="F57" s="72"/>
      <c r="G57" s="73"/>
      <c r="H57" s="72"/>
      <c r="I57" s="73"/>
      <c r="J57" s="72"/>
      <c r="K57" s="73"/>
      <c r="L57" s="72"/>
      <c r="M57" s="73"/>
      <c r="N57" s="72"/>
      <c r="O57" s="73"/>
      <c r="P57" s="38"/>
      <c r="Q57" s="22"/>
    </row>
    <row r="58" spans="2:21" s="23" customFormat="1" ht="17.5" customHeight="1" x14ac:dyDescent="0.45">
      <c r="B58" s="50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62"/>
      <c r="C59" s="40"/>
      <c r="D59" s="41"/>
      <c r="E59" s="40"/>
      <c r="F59" s="41"/>
      <c r="G59" s="42"/>
      <c r="H59" s="41"/>
      <c r="I59" s="42"/>
      <c r="J59" s="41"/>
      <c r="K59" s="42"/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63"/>
      <c r="C60" s="55">
        <f>IF(DAY(OctSun1)=1,IF(AND(YEAR(OctSun1+22)=CalendarYear,MONTH(OctSun1+22)=10),OctSun1+22,""),IF(AND(YEAR(OctSun1+29)=CalendarYear,MONTH(OctSun1+29)=10),OctSun1+29,""))</f>
        <v>44858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44859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44860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44861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44862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44863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44864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74" t="s">
        <v>45</v>
      </c>
      <c r="D61" s="65"/>
      <c r="E61" s="74" t="s">
        <v>104</v>
      </c>
      <c r="F61" s="65"/>
      <c r="G61" s="64" t="s">
        <v>105</v>
      </c>
      <c r="H61" s="65"/>
      <c r="I61" s="64" t="s">
        <v>43</v>
      </c>
      <c r="J61" s="65"/>
      <c r="K61" s="64" t="s">
        <v>31</v>
      </c>
      <c r="L61" s="65"/>
      <c r="M61" s="64" t="s">
        <v>42</v>
      </c>
      <c r="N61" s="65"/>
      <c r="O61" s="64" t="s">
        <v>32</v>
      </c>
      <c r="P61" s="26"/>
      <c r="Q61" s="22"/>
    </row>
    <row r="62" spans="2:21" s="23" customFormat="1" ht="17.5" customHeight="1" x14ac:dyDescent="0.45">
      <c r="B62" s="50"/>
      <c r="C62" s="75"/>
      <c r="D62" s="67"/>
      <c r="E62" s="75"/>
      <c r="F62" s="67"/>
      <c r="G62" s="66"/>
      <c r="H62" s="67"/>
      <c r="I62" s="66"/>
      <c r="J62" s="67"/>
      <c r="K62" s="66"/>
      <c r="L62" s="67"/>
      <c r="M62" s="66"/>
      <c r="N62" s="67"/>
      <c r="O62" s="66"/>
      <c r="P62" s="29"/>
      <c r="Q62" s="22"/>
    </row>
    <row r="63" spans="2:21" s="23" customFormat="1" ht="17.5" customHeight="1" x14ac:dyDescent="0.45">
      <c r="B63" s="50" t="s">
        <v>3</v>
      </c>
      <c r="C63" s="75" t="s">
        <v>106</v>
      </c>
      <c r="D63" s="67"/>
      <c r="E63" s="75" t="s">
        <v>107</v>
      </c>
      <c r="F63" s="67"/>
      <c r="G63" s="66" t="s">
        <v>108</v>
      </c>
      <c r="H63" s="67"/>
      <c r="I63" s="66" t="s">
        <v>109</v>
      </c>
      <c r="J63" s="67"/>
      <c r="K63" s="66" t="s">
        <v>110</v>
      </c>
      <c r="L63" s="67"/>
      <c r="M63" s="66" t="s">
        <v>111</v>
      </c>
      <c r="N63" s="67"/>
      <c r="O63" s="66" t="s">
        <v>32</v>
      </c>
      <c r="P63" s="29"/>
      <c r="Q63" s="22"/>
    </row>
    <row r="64" spans="2:21" s="23" customFormat="1" ht="17.5" customHeight="1" x14ac:dyDescent="0.45">
      <c r="B64" s="50"/>
      <c r="C64" s="75"/>
      <c r="D64" s="67"/>
      <c r="E64" s="75"/>
      <c r="F64" s="67"/>
      <c r="G64" s="66"/>
      <c r="H64" s="67"/>
      <c r="I64" s="66"/>
      <c r="J64" s="67"/>
      <c r="K64" s="66"/>
      <c r="L64" s="67"/>
      <c r="M64" s="66"/>
      <c r="N64" s="67"/>
      <c r="O64" s="66"/>
      <c r="P64" s="29"/>
      <c r="Q64" s="22"/>
    </row>
    <row r="65" spans="1:21" s="23" customFormat="1" ht="17.5" customHeight="1" x14ac:dyDescent="0.45">
      <c r="B65" s="50" t="s">
        <v>4</v>
      </c>
      <c r="C65" s="75" t="s">
        <v>53</v>
      </c>
      <c r="D65" s="67"/>
      <c r="E65" s="75" t="s">
        <v>112</v>
      </c>
      <c r="F65" s="67"/>
      <c r="G65" s="66" t="s">
        <v>113</v>
      </c>
      <c r="H65" s="67"/>
      <c r="I65" s="66" t="s">
        <v>114</v>
      </c>
      <c r="J65" s="67"/>
      <c r="K65" s="66" t="s">
        <v>115</v>
      </c>
      <c r="L65" s="67"/>
      <c r="M65" s="66" t="s">
        <v>97</v>
      </c>
      <c r="N65" s="67"/>
      <c r="O65" s="66" t="s">
        <v>32</v>
      </c>
      <c r="P65" s="29"/>
      <c r="Q65" s="22"/>
    </row>
    <row r="66" spans="1:21" s="23" customFormat="1" ht="17.5" customHeight="1" x14ac:dyDescent="0.45">
      <c r="B66" s="50"/>
      <c r="C66" s="75"/>
      <c r="D66" s="67"/>
      <c r="E66" s="75"/>
      <c r="F66" s="67"/>
      <c r="G66" s="66"/>
      <c r="H66" s="67"/>
      <c r="I66" s="66"/>
      <c r="J66" s="67"/>
      <c r="K66" s="66"/>
      <c r="L66" s="67"/>
      <c r="M66" s="66"/>
      <c r="N66" s="67"/>
      <c r="O66" s="66"/>
      <c r="P66" s="29"/>
      <c r="Q66" s="22"/>
    </row>
    <row r="67" spans="1:21" s="23" customFormat="1" ht="17.5" customHeight="1" x14ac:dyDescent="0.45">
      <c r="B67" s="50" t="s">
        <v>30</v>
      </c>
      <c r="C67" s="75" t="s">
        <v>39</v>
      </c>
      <c r="D67" s="67"/>
      <c r="E67" s="75" t="s">
        <v>38</v>
      </c>
      <c r="F67" s="67"/>
      <c r="G67" s="66" t="s">
        <v>116</v>
      </c>
      <c r="H67" s="67"/>
      <c r="I67" s="66" t="s">
        <v>117</v>
      </c>
      <c r="J67" s="67"/>
      <c r="K67" s="66" t="s">
        <v>85</v>
      </c>
      <c r="L67" s="67"/>
      <c r="M67" s="66" t="s">
        <v>38</v>
      </c>
      <c r="N67" s="67"/>
      <c r="O67" s="66" t="s">
        <v>32</v>
      </c>
      <c r="P67" s="29"/>
      <c r="Q67" s="22"/>
    </row>
    <row r="68" spans="1:21" s="23" customFormat="1" ht="17.5" customHeight="1" x14ac:dyDescent="0.45">
      <c r="B68" s="50"/>
      <c r="C68" s="75"/>
      <c r="D68" s="67"/>
      <c r="E68" s="75"/>
      <c r="F68" s="67"/>
      <c r="G68" s="66"/>
      <c r="H68" s="67"/>
      <c r="I68" s="66"/>
      <c r="J68" s="67"/>
      <c r="K68" s="66"/>
      <c r="L68" s="67"/>
      <c r="M68" s="66"/>
      <c r="N68" s="67"/>
      <c r="O68" s="66"/>
      <c r="P68" s="29"/>
      <c r="Q68" s="22"/>
    </row>
    <row r="69" spans="1:21" s="23" customFormat="1" ht="17.5" customHeight="1" x14ac:dyDescent="0.45">
      <c r="B69" s="50" t="s">
        <v>6</v>
      </c>
      <c r="C69" s="75" t="s">
        <v>40</v>
      </c>
      <c r="D69" s="67"/>
      <c r="E69" s="75" t="s">
        <v>118</v>
      </c>
      <c r="F69" s="67"/>
      <c r="G69" s="66" t="s">
        <v>119</v>
      </c>
      <c r="H69" s="67"/>
      <c r="I69" s="66" t="s">
        <v>120</v>
      </c>
      <c r="J69" s="67"/>
      <c r="K69" s="66" t="s">
        <v>121</v>
      </c>
      <c r="L69" s="67"/>
      <c r="M69" s="66" t="s">
        <v>122</v>
      </c>
      <c r="N69" s="67"/>
      <c r="O69" s="66" t="s">
        <v>32</v>
      </c>
      <c r="P69" s="29"/>
      <c r="Q69" s="22"/>
    </row>
    <row r="70" spans="1:21" s="23" customFormat="1" ht="17.5" customHeight="1" x14ac:dyDescent="0.45">
      <c r="B70" s="50"/>
      <c r="C70" s="75"/>
      <c r="D70" s="67"/>
      <c r="E70" s="75"/>
      <c r="F70" s="67"/>
      <c r="G70" s="66"/>
      <c r="H70" s="67"/>
      <c r="I70" s="66"/>
      <c r="J70" s="67"/>
      <c r="K70" s="66"/>
      <c r="L70" s="67"/>
      <c r="M70" s="66"/>
      <c r="N70" s="67"/>
      <c r="O70" s="66"/>
      <c r="P70" s="29"/>
      <c r="Q70" s="22"/>
    </row>
    <row r="71" spans="1:21" s="23" customFormat="1" ht="17.5" customHeight="1" x14ac:dyDescent="0.45">
      <c r="B71" s="50"/>
      <c r="C71" s="75"/>
      <c r="D71" s="67"/>
      <c r="E71" s="75"/>
      <c r="F71" s="67"/>
      <c r="G71" s="66"/>
      <c r="H71" s="67"/>
      <c r="I71" s="66"/>
      <c r="J71" s="67"/>
      <c r="K71" s="66"/>
      <c r="L71" s="67"/>
      <c r="M71" s="66"/>
      <c r="N71" s="67"/>
      <c r="O71" s="66"/>
      <c r="P71" s="29"/>
      <c r="Q71" s="22"/>
    </row>
    <row r="72" spans="1:21" s="23" customFormat="1" ht="17.5" customHeight="1" x14ac:dyDescent="0.45">
      <c r="B72" s="62"/>
      <c r="C72" s="31"/>
      <c r="D72" s="32"/>
      <c r="E72" s="31"/>
      <c r="F72" s="32"/>
      <c r="G72" s="33"/>
      <c r="H72" s="32"/>
      <c r="I72" s="33"/>
      <c r="J72" s="32"/>
      <c r="K72" s="33"/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63"/>
      <c r="C73" s="55">
        <f>IF(DAY(OctSun1)=1,IF(AND(YEAR(OctSun1+29)=CalendarYear,MONTH(OctSun1+29)=10),OctSun1+29,""),IF(AND(YEAR(OctSun1+36)=CalendarYear,MONTH(OctSun1+36)=10),OctSun1+36,""))</f>
        <v>44865</v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313" t="s">
        <v>123</v>
      </c>
      <c r="H74" s="304"/>
      <c r="I74" s="304"/>
      <c r="J74" s="304"/>
      <c r="K74" s="304"/>
      <c r="L74" s="304"/>
      <c r="M74" s="304"/>
      <c r="N74" s="304"/>
      <c r="O74" s="304"/>
      <c r="P74" s="305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306"/>
      <c r="H75" s="314"/>
      <c r="I75" s="314"/>
      <c r="J75" s="314"/>
      <c r="K75" s="314"/>
      <c r="L75" s="314"/>
      <c r="M75" s="314"/>
      <c r="N75" s="314"/>
      <c r="O75" s="314"/>
      <c r="P75" s="308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306"/>
      <c r="H76" s="314"/>
      <c r="I76" s="314"/>
      <c r="J76" s="314"/>
      <c r="K76" s="314"/>
      <c r="L76" s="314"/>
      <c r="M76" s="314"/>
      <c r="N76" s="314"/>
      <c r="O76" s="314"/>
      <c r="P76" s="308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306"/>
      <c r="H77" s="314"/>
      <c r="I77" s="314"/>
      <c r="J77" s="314"/>
      <c r="K77" s="314"/>
      <c r="L77" s="314"/>
      <c r="M77" s="314"/>
      <c r="N77" s="314"/>
      <c r="O77" s="314"/>
      <c r="P77" s="308"/>
      <c r="Q77" s="22"/>
    </row>
    <row r="78" spans="1:21" s="23" customFormat="1" ht="17.5" customHeight="1" x14ac:dyDescent="0.45">
      <c r="B78" s="50" t="s">
        <v>4</v>
      </c>
      <c r="C78" s="37"/>
      <c r="D78" s="38"/>
      <c r="E78" s="37"/>
      <c r="F78" s="38"/>
      <c r="G78" s="306"/>
      <c r="H78" s="314"/>
      <c r="I78" s="314"/>
      <c r="J78" s="314"/>
      <c r="K78" s="314"/>
      <c r="L78" s="314"/>
      <c r="M78" s="314"/>
      <c r="N78" s="314"/>
      <c r="O78" s="314"/>
      <c r="P78" s="308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306"/>
      <c r="H79" s="314"/>
      <c r="I79" s="314"/>
      <c r="J79" s="314"/>
      <c r="K79" s="314"/>
      <c r="L79" s="314"/>
      <c r="M79" s="314"/>
      <c r="N79" s="314"/>
      <c r="O79" s="314"/>
      <c r="P79" s="308"/>
      <c r="Q79" s="22"/>
    </row>
    <row r="80" spans="1:21" s="23" customFormat="1" ht="17.5" customHeight="1" x14ac:dyDescent="0.45">
      <c r="B80" s="50" t="s">
        <v>30</v>
      </c>
      <c r="C80" s="37"/>
      <c r="D80" s="38"/>
      <c r="E80" s="37"/>
      <c r="F80" s="38"/>
      <c r="G80" s="306"/>
      <c r="H80" s="314"/>
      <c r="I80" s="314"/>
      <c r="J80" s="314"/>
      <c r="K80" s="314"/>
      <c r="L80" s="314"/>
      <c r="M80" s="314"/>
      <c r="N80" s="314"/>
      <c r="O80" s="314"/>
      <c r="P80" s="308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306"/>
      <c r="H81" s="314"/>
      <c r="I81" s="314"/>
      <c r="J81" s="314"/>
      <c r="K81" s="314"/>
      <c r="L81" s="314"/>
      <c r="M81" s="314"/>
      <c r="N81" s="314"/>
      <c r="O81" s="314"/>
      <c r="P81" s="308"/>
      <c r="Q81" s="22"/>
    </row>
    <row r="82" spans="1:17" s="23" customFormat="1" ht="17.5" customHeight="1" x14ac:dyDescent="0.45">
      <c r="B82" s="50" t="s">
        <v>6</v>
      </c>
      <c r="C82" s="37"/>
      <c r="D82" s="38"/>
      <c r="E82" s="37"/>
      <c r="F82" s="38"/>
      <c r="G82" s="306"/>
      <c r="H82" s="314"/>
      <c r="I82" s="314"/>
      <c r="J82" s="314"/>
      <c r="K82" s="314"/>
      <c r="L82" s="314"/>
      <c r="M82" s="314"/>
      <c r="N82" s="314"/>
      <c r="O82" s="314"/>
      <c r="P82" s="308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306"/>
      <c r="H83" s="314"/>
      <c r="I83" s="314"/>
      <c r="J83" s="314"/>
      <c r="K83" s="314"/>
      <c r="L83" s="314"/>
      <c r="M83" s="314"/>
      <c r="N83" s="314"/>
      <c r="O83" s="314"/>
      <c r="P83" s="308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306"/>
      <c r="H84" s="314"/>
      <c r="I84" s="314"/>
      <c r="J84" s="314"/>
      <c r="K84" s="314"/>
      <c r="L84" s="314"/>
      <c r="M84" s="314"/>
      <c r="N84" s="314"/>
      <c r="O84" s="314"/>
      <c r="P84" s="308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309"/>
      <c r="H85" s="310"/>
      <c r="I85" s="310"/>
      <c r="J85" s="310"/>
      <c r="K85" s="310"/>
      <c r="L85" s="310"/>
      <c r="M85" s="310"/>
      <c r="N85" s="310"/>
      <c r="O85" s="310"/>
      <c r="P85" s="311"/>
      <c r="Q85" s="22"/>
    </row>
    <row r="86" spans="1:17" ht="22.75" customHeight="1" x14ac:dyDescent="0.3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</row>
    <row r="87" spans="1:17" ht="22.75" customHeight="1" x14ac:dyDescent="0.3">
      <c r="A87" s="2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zoomScale="50" zoomScaleNormal="50" workbookViewId="0">
      <selection activeCell="K11" sqref="K11"/>
    </sheetView>
  </sheetViews>
  <sheetFormatPr defaultColWidth="6.69140625" defaultRowHeight="20" x14ac:dyDescent="0.4"/>
  <cols>
    <col min="1" max="1" width="5.53515625" style="76" customWidth="1"/>
    <col min="2" max="2" width="19" style="76" customWidth="1"/>
    <col min="3" max="3" width="33.921875" style="76" customWidth="1"/>
    <col min="4" max="4" width="7.4609375" style="77" customWidth="1"/>
    <col min="5" max="5" width="37.3046875" style="76" customWidth="1"/>
    <col min="6" max="6" width="7.4609375" style="77" customWidth="1"/>
    <col min="7" max="7" width="27.69140625" style="76" customWidth="1"/>
    <col min="8" max="8" width="7.4609375" style="77" customWidth="1"/>
    <col min="9" max="9" width="31.69140625" style="76" customWidth="1"/>
    <col min="10" max="10" width="7.4609375" style="77" customWidth="1"/>
    <col min="11" max="11" width="37.23046875" style="76" customWidth="1"/>
    <col min="12" max="12" width="7.4609375" style="77" customWidth="1"/>
    <col min="13" max="13" width="30.69140625" style="76" customWidth="1"/>
    <col min="14" max="14" width="7.4609375" style="77" customWidth="1"/>
    <col min="15" max="15" width="24.23046875" style="76" customWidth="1"/>
    <col min="16" max="16" width="7.4609375" style="77" customWidth="1"/>
    <col min="17" max="17" width="13.3046875" style="76" customWidth="1"/>
    <col min="18" max="18" width="31.3046875" style="76" customWidth="1"/>
    <col min="19" max="19" width="11.84375" style="76" customWidth="1"/>
    <col min="20" max="20" width="11.3046875" style="76" customWidth="1"/>
    <col min="21" max="16384" width="6.69140625" style="76"/>
  </cols>
  <sheetData>
    <row r="1" spans="1:88" ht="49.75" customHeight="1" x14ac:dyDescent="0.4">
      <c r="R1" s="78"/>
      <c r="S1" s="78"/>
    </row>
    <row r="2" spans="1:88" ht="13.75" customHeight="1" x14ac:dyDescent="0.4">
      <c r="R2" s="78"/>
      <c r="S2" s="78"/>
    </row>
    <row r="3" spans="1:88" ht="19.399999999999999" customHeight="1" x14ac:dyDescent="0.4">
      <c r="B3" s="79"/>
      <c r="R3" s="78"/>
      <c r="S3" s="78"/>
      <c r="BB3" s="79"/>
      <c r="BC3" s="79"/>
      <c r="BD3" s="79"/>
    </row>
    <row r="4" spans="1:88" ht="43.75" customHeight="1" x14ac:dyDescent="0.4">
      <c r="B4" s="272"/>
      <c r="C4" s="272"/>
      <c r="R4" s="78"/>
      <c r="S4" s="78"/>
      <c r="BB4" s="79"/>
      <c r="BC4" s="79"/>
      <c r="BD4" s="79"/>
      <c r="BK4" s="273"/>
      <c r="BL4" s="273"/>
      <c r="BM4" s="273"/>
      <c r="BN4" s="273"/>
      <c r="CH4" s="80"/>
    </row>
    <row r="5" spans="1:88" ht="30" customHeight="1" x14ac:dyDescent="0.4">
      <c r="B5" s="272"/>
      <c r="C5" s="272"/>
      <c r="D5" s="81"/>
      <c r="F5" s="81"/>
      <c r="H5" s="81"/>
      <c r="I5" s="79"/>
      <c r="J5" s="81"/>
      <c r="K5" s="79"/>
      <c r="L5" s="81"/>
      <c r="M5" s="79"/>
      <c r="N5" s="81"/>
      <c r="O5" s="79"/>
      <c r="P5" s="81"/>
      <c r="R5" s="82"/>
      <c r="S5" s="82"/>
      <c r="BB5" s="79"/>
      <c r="BC5" s="79"/>
      <c r="BD5" s="79"/>
      <c r="BH5" s="79"/>
      <c r="BI5" s="79"/>
      <c r="BJ5" s="79"/>
      <c r="BK5" s="273"/>
      <c r="BL5" s="273"/>
      <c r="BM5" s="273"/>
      <c r="BN5" s="273"/>
      <c r="BO5" s="79"/>
      <c r="BP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48.65" customHeight="1" x14ac:dyDescent="0.4">
      <c r="F6" s="83"/>
      <c r="G6" s="274" t="s">
        <v>24</v>
      </c>
      <c r="H6" s="274"/>
      <c r="I6" s="122" t="str">
        <f>UPPER(TEXT(DATE(CalendarYear,1,1)," yyyy"))</f>
        <v xml:space="preserve"> 2022</v>
      </c>
      <c r="J6" s="83"/>
      <c r="K6" s="123" t="s">
        <v>171</v>
      </c>
      <c r="L6" s="83"/>
      <c r="N6" s="83"/>
      <c r="BO6" s="84"/>
      <c r="BP6" s="85"/>
      <c r="BR6" s="84"/>
      <c r="BS6" s="85"/>
      <c r="BT6" s="84"/>
      <c r="BU6" s="84"/>
      <c r="BV6" s="85"/>
      <c r="BW6" s="84"/>
      <c r="BX6" s="84"/>
      <c r="BY6" s="85"/>
      <c r="CA6" s="84"/>
      <c r="CB6" s="260"/>
      <c r="CC6" s="260"/>
      <c r="CD6" s="86"/>
      <c r="CE6" s="85"/>
    </row>
    <row r="7" spans="1:88" s="89" customFormat="1" ht="26.25" customHeight="1" x14ac:dyDescent="0.4">
      <c r="A7" s="76"/>
      <c r="B7" s="87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88"/>
      <c r="Q7" s="76"/>
      <c r="S7" s="76"/>
      <c r="T7" s="90"/>
      <c r="X7" s="76"/>
      <c r="Y7" s="76"/>
    </row>
    <row r="8" spans="1:88" s="51" customFormat="1" ht="18" customHeight="1" x14ac:dyDescent="0.3">
      <c r="B8" s="52"/>
      <c r="C8" s="55" t="str">
        <f>IF(DAY(NovSun1)=1,"",IF(AND(YEAR(NovSun1+1)=CalendarYear,MONTH(NovSun1+1)=11),NovSun1+1,""))</f>
        <v/>
      </c>
      <c r="D8" s="91" t="s">
        <v>29</v>
      </c>
      <c r="E8" s="55">
        <f>IF(DAY(NovSun1)=1,"",IF(AND(YEAR(NovSun1+2)=CalendarYear,MONTH(NovSun1+2)=11),NovSun1+2,""))</f>
        <v>44866</v>
      </c>
      <c r="F8" s="91" t="s">
        <v>29</v>
      </c>
      <c r="G8" s="56">
        <f>IF(DAY(NovSun1)=1,"",IF(AND(YEAR(NovSun1+3)=CalendarYear,MONTH(NovSun1+3)=11),NovSun1+3,""))</f>
        <v>44867</v>
      </c>
      <c r="H8" s="91" t="s">
        <v>29</v>
      </c>
      <c r="I8" s="56">
        <f>IF(DAY(NovSun1)=1,"",IF(AND(YEAR(NovSun1+4)=CalendarYear,MONTH(NovSun1+4)=11),NovSun1+4,""))</f>
        <v>44868</v>
      </c>
      <c r="J8" s="91" t="s">
        <v>29</v>
      </c>
      <c r="K8" s="56">
        <f>IF(DAY(NovSun1)=1,"",IF(AND(YEAR(NovSun1+5)=CalendarYear,MONTH(NovSun1+5)=11),NovSun1+5,""))</f>
        <v>44869</v>
      </c>
      <c r="L8" s="91" t="s">
        <v>29</v>
      </c>
      <c r="M8" s="56">
        <f>IF(DAY(NovSun1)=1,"",IF(AND(YEAR(NovSun1+6)=CalendarYear,MONTH(NovSun1+6)=11),NovSun1+6,""))</f>
        <v>44870</v>
      </c>
      <c r="N8" s="91" t="s">
        <v>29</v>
      </c>
      <c r="O8" s="56">
        <f>IF(DAY(NovSun1)=1,IF(AND(YEAR(NovSun1)=CalendarYear,MONTH(NovSun1)=11),NovSun1,""),IF(AND(YEAR(NovSun1+7)=CalendarYear,MONTH(NovSun1+7)=11),NovSun1+7,""))</f>
        <v>44871</v>
      </c>
      <c r="P8" s="91" t="s">
        <v>29</v>
      </c>
      <c r="Q8" s="47"/>
      <c r="T8" s="53"/>
      <c r="U8" s="54"/>
    </row>
    <row r="9" spans="1:88" s="92" customFormat="1" ht="17.5" customHeight="1" x14ac:dyDescent="0.5">
      <c r="B9" s="93" t="s">
        <v>1</v>
      </c>
      <c r="C9" s="94" t="s">
        <v>89</v>
      </c>
      <c r="D9" s="95"/>
      <c r="E9" s="94" t="s">
        <v>143</v>
      </c>
      <c r="F9" s="95"/>
      <c r="G9" s="96" t="s">
        <v>67</v>
      </c>
      <c r="H9" s="95"/>
      <c r="I9" s="96" t="s">
        <v>44</v>
      </c>
      <c r="J9" s="95"/>
      <c r="K9" s="96" t="s">
        <v>45</v>
      </c>
      <c r="L9" s="95"/>
      <c r="M9" s="96" t="s">
        <v>42</v>
      </c>
      <c r="N9" s="95"/>
      <c r="O9" s="96" t="s">
        <v>32</v>
      </c>
      <c r="P9" s="95"/>
      <c r="Q9" s="97"/>
    </row>
    <row r="10" spans="1:88" s="92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</row>
    <row r="11" spans="1:88" s="92" customFormat="1" ht="17.5" customHeight="1" x14ac:dyDescent="0.5">
      <c r="B11" s="93" t="s">
        <v>3</v>
      </c>
      <c r="C11" s="124" t="s">
        <v>142</v>
      </c>
      <c r="D11" s="99"/>
      <c r="E11" s="98" t="s">
        <v>144</v>
      </c>
      <c r="F11" s="99"/>
      <c r="G11" s="100" t="s">
        <v>146</v>
      </c>
      <c r="H11" s="99"/>
      <c r="I11" s="125" t="s">
        <v>173</v>
      </c>
      <c r="J11" s="99"/>
      <c r="K11" s="100" t="s">
        <v>149</v>
      </c>
      <c r="L11" s="99"/>
      <c r="M11" s="100" t="s">
        <v>51</v>
      </c>
      <c r="N11" s="99"/>
      <c r="O11" s="100" t="s">
        <v>32</v>
      </c>
      <c r="P11" s="99"/>
      <c r="Q11" s="97"/>
    </row>
    <row r="12" spans="1:88" s="92" customFormat="1" ht="17.5" customHeight="1" x14ac:dyDescent="0.5">
      <c r="B12" s="93"/>
      <c r="C12" s="98"/>
      <c r="D12" s="99"/>
      <c r="E12" s="98"/>
      <c r="F12" s="99"/>
      <c r="G12" s="100"/>
      <c r="H12" s="99"/>
      <c r="I12" s="125"/>
      <c r="J12" s="99"/>
      <c r="K12" s="100"/>
      <c r="L12" s="99"/>
      <c r="M12" s="100"/>
      <c r="N12" s="99"/>
      <c r="O12" s="100"/>
      <c r="P12" s="99"/>
      <c r="Q12" s="97"/>
    </row>
    <row r="13" spans="1:88" s="92" customFormat="1" ht="17.5" customHeight="1" x14ac:dyDescent="0.5">
      <c r="B13" s="93" t="s">
        <v>4</v>
      </c>
      <c r="C13" s="98" t="s">
        <v>35</v>
      </c>
      <c r="D13" s="99"/>
      <c r="E13" s="98" t="s">
        <v>145</v>
      </c>
      <c r="F13" s="99"/>
      <c r="G13" s="100" t="s">
        <v>147</v>
      </c>
      <c r="H13" s="99"/>
      <c r="I13" s="125" t="s">
        <v>77</v>
      </c>
      <c r="J13" s="99"/>
      <c r="K13" s="100" t="s">
        <v>150</v>
      </c>
      <c r="L13" s="99"/>
      <c r="M13" s="100" t="s">
        <v>152</v>
      </c>
      <c r="N13" s="99"/>
      <c r="O13" s="100" t="s">
        <v>32</v>
      </c>
      <c r="P13" s="99"/>
      <c r="Q13" s="97"/>
    </row>
    <row r="14" spans="1:88" s="92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97"/>
    </row>
    <row r="15" spans="1:88" s="92" customFormat="1" ht="17.5" customHeight="1" x14ac:dyDescent="0.5">
      <c r="B15" s="93" t="s">
        <v>30</v>
      </c>
      <c r="C15" s="98" t="s">
        <v>57</v>
      </c>
      <c r="D15" s="99"/>
      <c r="E15" s="98" t="s">
        <v>38</v>
      </c>
      <c r="F15" s="99"/>
      <c r="G15" s="100" t="s">
        <v>148</v>
      </c>
      <c r="H15" s="99"/>
      <c r="I15" s="100" t="s">
        <v>38</v>
      </c>
      <c r="J15" s="99"/>
      <c r="K15" s="100" t="s">
        <v>151</v>
      </c>
      <c r="L15" s="99"/>
      <c r="M15" s="100" t="s">
        <v>38</v>
      </c>
      <c r="N15" s="99"/>
      <c r="O15" s="100" t="s">
        <v>32</v>
      </c>
      <c r="P15" s="99"/>
      <c r="Q15" s="97"/>
    </row>
    <row r="16" spans="1:88" s="92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97"/>
    </row>
    <row r="17" spans="2:21" s="92" customFormat="1" ht="17.5" customHeight="1" x14ac:dyDescent="0.5">
      <c r="B17" s="93" t="s">
        <v>6</v>
      </c>
      <c r="C17" s="98" t="s">
        <v>40</v>
      </c>
      <c r="D17" s="99"/>
      <c r="E17" s="98" t="s">
        <v>82</v>
      </c>
      <c r="F17" s="99"/>
      <c r="G17" s="100" t="s">
        <v>39</v>
      </c>
      <c r="H17" s="99"/>
      <c r="I17" s="100" t="s">
        <v>140</v>
      </c>
      <c r="J17" s="99"/>
      <c r="K17" s="100" t="s">
        <v>121</v>
      </c>
      <c r="L17" s="99"/>
      <c r="M17" s="100" t="s">
        <v>40</v>
      </c>
      <c r="N17" s="99"/>
      <c r="O17" s="100" t="s">
        <v>32</v>
      </c>
      <c r="P17" s="99"/>
      <c r="Q17" s="97"/>
    </row>
    <row r="18" spans="2:21" s="92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97"/>
    </row>
    <row r="19" spans="2:21" s="92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97"/>
    </row>
    <row r="20" spans="2:21" s="92" customFormat="1" ht="17.5" customHeight="1" x14ac:dyDescent="0.5">
      <c r="B20" s="101"/>
      <c r="C20" s="102"/>
      <c r="D20" s="103"/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97"/>
    </row>
    <row r="21" spans="2:21" s="51" customFormat="1" ht="18" customHeight="1" x14ac:dyDescent="0.3">
      <c r="B21" s="52"/>
      <c r="C21" s="55">
        <f>IF(DAY(NovSun1)=1,IF(AND(YEAR(NovSun1+1)=CalendarYear,MONTH(NovSun1+1)=11),NovSun1+1,""),IF(AND(YEAR(NovSun1+8)=CalendarYear,MONTH(NovSun1+8)=11),NovSun1+8,""))</f>
        <v>44872</v>
      </c>
      <c r="D21" s="91" t="s">
        <v>29</v>
      </c>
      <c r="E21" s="55">
        <f>IF(DAY(NovSun1)=1,IF(AND(YEAR(NovSun1+2)=CalendarYear,MONTH(NovSun1+2)=11),NovSun1+2,""),IF(AND(YEAR(NovSun1+9)=CalendarYear,MONTH(NovSun1+9)=11),NovSun1+9,""))</f>
        <v>44873</v>
      </c>
      <c r="F21" s="91" t="s">
        <v>29</v>
      </c>
      <c r="G21" s="56">
        <f>IF(DAY(NovSun1)=1,IF(AND(YEAR(NovSun1+3)=CalendarYear,MONTH(NovSun1+3)=11),NovSun1+3,""),IF(AND(YEAR(NovSun1+10)=CalendarYear,MONTH(NovSun1+10)=11),NovSun1+10,""))</f>
        <v>44874</v>
      </c>
      <c r="H21" s="91" t="s">
        <v>29</v>
      </c>
      <c r="I21" s="56">
        <f>IF(DAY(NovSun1)=1,IF(AND(YEAR(NovSun1+4)=CalendarYear,MONTH(NovSun1+4)=11),NovSun1+4,""),IF(AND(YEAR(NovSun1+11)=CalendarYear,MONTH(NovSun1+11)=11),NovSun1+11,""))</f>
        <v>44875</v>
      </c>
      <c r="J21" s="91" t="s">
        <v>29</v>
      </c>
      <c r="K21" s="56">
        <f>IF(DAY(NovSun1)=1,IF(AND(YEAR(NovSun1+5)=CalendarYear,MONTH(NovSun1+5)=11),NovSun1+5,""),IF(AND(YEAR(NovSun1+12)=CalendarYear,MONTH(NovSun1+12)=11),NovSun1+12,""))</f>
        <v>44876</v>
      </c>
      <c r="L21" s="91" t="s">
        <v>29</v>
      </c>
      <c r="M21" s="56">
        <f>IF(DAY(NovSun1)=1,IF(AND(YEAR(NovSun1+6)=CalendarYear,MONTH(NovSun1+6)=11),NovSun1+6,""),IF(AND(YEAR(NovSun1+13)=CalendarYear,MONTH(NovSun1+13)=11),NovSun1+13,""))</f>
        <v>44877</v>
      </c>
      <c r="N21" s="91" t="s">
        <v>29</v>
      </c>
      <c r="O21" s="56">
        <f>IF(DAY(NovSun1)=1,IF(AND(YEAR(NovSun1+7)=CalendarYear,MONTH(NovSun1+7)=11),NovSun1+7,""),IF(AND(YEAR(NovSun1+14)=CalendarYear,MONTH(NovSun1+14)=11),NovSun1+14,""))</f>
        <v>44878</v>
      </c>
      <c r="P21" s="91" t="s">
        <v>29</v>
      </c>
      <c r="Q21" s="47"/>
      <c r="T21" s="53"/>
      <c r="U21" s="54"/>
    </row>
    <row r="22" spans="2:21" s="92" customFormat="1" ht="17.5" customHeight="1" x14ac:dyDescent="0.5">
      <c r="B22" s="93" t="s">
        <v>1</v>
      </c>
      <c r="C22" s="105" t="s">
        <v>45</v>
      </c>
      <c r="D22" s="106"/>
      <c r="E22" s="107" t="s">
        <v>105</v>
      </c>
      <c r="F22" s="106"/>
      <c r="G22" s="107" t="s">
        <v>155</v>
      </c>
      <c r="H22" s="106"/>
      <c r="I22" s="107" t="s">
        <v>125</v>
      </c>
      <c r="J22" s="106"/>
      <c r="K22" s="105" t="s">
        <v>154</v>
      </c>
      <c r="L22" s="106"/>
      <c r="M22" s="107" t="s">
        <v>157</v>
      </c>
      <c r="N22" s="106"/>
      <c r="O22" s="107" t="s">
        <v>32</v>
      </c>
      <c r="P22" s="106"/>
      <c r="Q22" s="97"/>
    </row>
    <row r="23" spans="2:21" s="92" customFormat="1" ht="17.5" customHeight="1" x14ac:dyDescent="0.5">
      <c r="B23" s="93"/>
      <c r="C23" s="108"/>
      <c r="D23" s="109"/>
      <c r="E23" s="110"/>
      <c r="F23" s="109"/>
      <c r="G23" s="110"/>
      <c r="H23" s="109"/>
      <c r="I23" s="110"/>
      <c r="J23" s="109"/>
      <c r="K23" s="108"/>
      <c r="L23" s="109"/>
      <c r="M23" s="110"/>
      <c r="N23" s="109"/>
      <c r="O23" s="110"/>
      <c r="P23" s="109"/>
      <c r="Q23" s="97"/>
    </row>
    <row r="24" spans="2:21" s="92" customFormat="1" ht="17.5" customHeight="1" x14ac:dyDescent="0.5">
      <c r="B24" s="93" t="s">
        <v>3</v>
      </c>
      <c r="C24" s="108" t="s">
        <v>175</v>
      </c>
      <c r="D24" s="109"/>
      <c r="E24" s="110" t="s">
        <v>106</v>
      </c>
      <c r="F24" s="109"/>
      <c r="G24" s="110" t="s">
        <v>156</v>
      </c>
      <c r="H24" s="109"/>
      <c r="I24" s="110" t="s">
        <v>179</v>
      </c>
      <c r="J24" s="109"/>
      <c r="K24" s="108" t="s">
        <v>153</v>
      </c>
      <c r="L24" s="109"/>
      <c r="M24" s="110" t="s">
        <v>72</v>
      </c>
      <c r="N24" s="109"/>
      <c r="O24" s="110" t="s">
        <v>32</v>
      </c>
      <c r="P24" s="109"/>
      <c r="Q24" s="97"/>
    </row>
    <row r="25" spans="2:21" s="92" customFormat="1" ht="17.5" customHeight="1" x14ac:dyDescent="0.5">
      <c r="B25" s="93"/>
      <c r="C25" s="108"/>
      <c r="D25" s="109"/>
      <c r="E25" s="110"/>
      <c r="F25" s="109"/>
      <c r="G25" s="110"/>
      <c r="H25" s="109"/>
      <c r="I25" s="110"/>
      <c r="J25" s="109"/>
      <c r="K25" s="108"/>
      <c r="L25" s="109"/>
      <c r="M25" s="110"/>
      <c r="N25" s="109"/>
      <c r="O25" s="110"/>
      <c r="P25" s="109"/>
      <c r="Q25" s="97"/>
    </row>
    <row r="26" spans="2:21" s="92" customFormat="1" ht="17.5" customHeight="1" x14ac:dyDescent="0.5">
      <c r="B26" s="93" t="s">
        <v>4</v>
      </c>
      <c r="C26" s="108" t="s">
        <v>75</v>
      </c>
      <c r="D26" s="109"/>
      <c r="E26" s="110" t="s">
        <v>53</v>
      </c>
      <c r="F26" s="109"/>
      <c r="G26" s="110" t="s">
        <v>97</v>
      </c>
      <c r="H26" s="109"/>
      <c r="I26" s="110" t="s">
        <v>178</v>
      </c>
      <c r="J26" s="109"/>
      <c r="K26" s="108" t="s">
        <v>97</v>
      </c>
      <c r="L26" s="109"/>
      <c r="M26" s="110" t="s">
        <v>77</v>
      </c>
      <c r="N26" s="109"/>
      <c r="O26" s="110" t="s">
        <v>32</v>
      </c>
      <c r="P26" s="109"/>
      <c r="Q26" s="97"/>
    </row>
    <row r="27" spans="2:21" s="92" customFormat="1" ht="17.5" customHeight="1" x14ac:dyDescent="0.5">
      <c r="B27" s="93"/>
      <c r="C27" s="108"/>
      <c r="D27" s="109"/>
      <c r="E27" s="110"/>
      <c r="F27" s="109"/>
      <c r="G27" s="110"/>
      <c r="H27" s="109"/>
      <c r="I27" s="110"/>
      <c r="J27" s="109"/>
      <c r="K27" s="108"/>
      <c r="L27" s="109"/>
      <c r="M27" s="110"/>
      <c r="N27" s="109"/>
      <c r="O27" s="110"/>
      <c r="P27" s="109"/>
      <c r="Q27" s="97"/>
    </row>
    <row r="28" spans="2:21" s="92" customFormat="1" ht="17.5" customHeight="1" x14ac:dyDescent="0.5">
      <c r="B28" s="93" t="s">
        <v>30</v>
      </c>
      <c r="C28" s="108" t="s">
        <v>57</v>
      </c>
      <c r="D28" s="109"/>
      <c r="E28" s="110" t="s">
        <v>176</v>
      </c>
      <c r="F28" s="109"/>
      <c r="G28" s="110" t="s">
        <v>177</v>
      </c>
      <c r="H28" s="109"/>
      <c r="I28" s="110" t="s">
        <v>39</v>
      </c>
      <c r="J28" s="109"/>
      <c r="K28" s="108" t="s">
        <v>85</v>
      </c>
      <c r="L28" s="109"/>
      <c r="M28" s="110" t="s">
        <v>38</v>
      </c>
      <c r="N28" s="109"/>
      <c r="O28" s="110" t="s">
        <v>32</v>
      </c>
      <c r="P28" s="109"/>
      <c r="Q28" s="97"/>
    </row>
    <row r="29" spans="2:21" s="92" customFormat="1" ht="17.5" customHeight="1" x14ac:dyDescent="0.5">
      <c r="B29" s="93"/>
      <c r="C29" s="108"/>
      <c r="D29" s="109"/>
      <c r="E29" s="110"/>
      <c r="F29" s="109"/>
      <c r="G29" s="110"/>
      <c r="H29" s="109"/>
      <c r="I29" s="110"/>
      <c r="J29" s="109"/>
      <c r="K29" s="108"/>
      <c r="L29" s="109"/>
      <c r="M29" s="110"/>
      <c r="N29" s="109"/>
      <c r="O29" s="110"/>
      <c r="P29" s="109"/>
      <c r="Q29" s="97"/>
    </row>
    <row r="30" spans="2:21" s="92" customFormat="1" ht="17.5" customHeight="1" x14ac:dyDescent="0.5">
      <c r="B30" s="93" t="s">
        <v>6</v>
      </c>
      <c r="C30" s="108" t="s">
        <v>129</v>
      </c>
      <c r="D30" s="109"/>
      <c r="E30" s="110" t="s">
        <v>64</v>
      </c>
      <c r="F30" s="109"/>
      <c r="G30" s="110" t="s">
        <v>38</v>
      </c>
      <c r="H30" s="109"/>
      <c r="I30" s="110" t="s">
        <v>40</v>
      </c>
      <c r="J30" s="109"/>
      <c r="K30" s="108" t="s">
        <v>84</v>
      </c>
      <c r="L30" s="109"/>
      <c r="M30" s="110" t="s">
        <v>40</v>
      </c>
      <c r="N30" s="109"/>
      <c r="O30" s="110" t="s">
        <v>32</v>
      </c>
      <c r="P30" s="109"/>
      <c r="Q30" s="97"/>
    </row>
    <row r="31" spans="2:21" s="92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97"/>
    </row>
    <row r="32" spans="2:21" s="92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97"/>
    </row>
    <row r="33" spans="2:21" s="92" customFormat="1" ht="17.5" customHeight="1" x14ac:dyDescent="0.5">
      <c r="B33" s="101"/>
      <c r="C33" s="111"/>
      <c r="D33" s="112"/>
      <c r="E33" s="111"/>
      <c r="F33" s="112"/>
      <c r="G33" s="113"/>
      <c r="H33" s="112"/>
      <c r="I33" s="113"/>
      <c r="J33" s="112"/>
      <c r="K33" s="113"/>
      <c r="L33" s="112"/>
      <c r="M33" s="113"/>
      <c r="N33" s="112"/>
      <c r="O33" s="113"/>
      <c r="P33" s="112"/>
      <c r="Q33" s="97"/>
    </row>
    <row r="34" spans="2:21" s="51" customFormat="1" ht="18" customHeight="1" x14ac:dyDescent="0.3">
      <c r="B34" s="52"/>
      <c r="C34" s="55">
        <f>IF(DAY(NovSun1)=1,IF(AND(YEAR(NovSun1+8)=CalendarYear,MONTH(NovSun1+8)=11),NovSun1+8,""),IF(AND(YEAR(NovSun1+15)=CalendarYear,MONTH(NovSun1+15)=11),NovSun1+15,""))</f>
        <v>44879</v>
      </c>
      <c r="D34" s="91" t="s">
        <v>29</v>
      </c>
      <c r="E34" s="55">
        <f>IF(DAY(NovSun1)=1,IF(AND(YEAR(NovSun1+9)=CalendarYear,MONTH(NovSun1+9)=11),NovSun1+9,""),IF(AND(YEAR(NovSun1+16)=CalendarYear,MONTH(NovSun1+16)=11),NovSun1+16,""))</f>
        <v>44880</v>
      </c>
      <c r="F34" s="91" t="s">
        <v>29</v>
      </c>
      <c r="G34" s="56">
        <f>IF(DAY(NovSun1)=1,IF(AND(YEAR(NovSun1+10)=CalendarYear,MONTH(NovSun1+10)=11),NovSun1+10,""),IF(AND(YEAR(NovSun1+17)=CalendarYear,MONTH(NovSun1+17)=11),NovSun1+17,""))</f>
        <v>44881</v>
      </c>
      <c r="H34" s="91" t="s">
        <v>29</v>
      </c>
      <c r="I34" s="56">
        <f>IF(DAY(NovSun1)=1,IF(AND(YEAR(NovSun1+11)=CalendarYear,MONTH(NovSun1+11)=11),NovSun1+11,""),IF(AND(YEAR(NovSun1+18)=CalendarYear,MONTH(NovSun1+18)=11),NovSun1+18,""))</f>
        <v>44882</v>
      </c>
      <c r="J34" s="91" t="s">
        <v>29</v>
      </c>
      <c r="K34" s="56">
        <f>IF(DAY(NovSun1)=1,IF(AND(YEAR(NovSun1+12)=CalendarYear,MONTH(NovSun1+12)=11),NovSun1+12,""),IF(AND(YEAR(NovSun1+19)=CalendarYear,MONTH(NovSun1+19)=11),NovSun1+19,""))</f>
        <v>44883</v>
      </c>
      <c r="L34" s="91" t="s">
        <v>29</v>
      </c>
      <c r="M34" s="56">
        <f>IF(DAY(NovSun1)=1,IF(AND(YEAR(NovSun1+13)=CalendarYear,MONTH(NovSun1+13)=11),NovSun1+13,""),IF(AND(YEAR(NovSun1+20)=CalendarYear,MONTH(NovSun1+20)=11),NovSun1+20,""))</f>
        <v>44884</v>
      </c>
      <c r="N34" s="91" t="s">
        <v>29</v>
      </c>
      <c r="O34" s="56">
        <f>IF(DAY(NovSun1)=1,IF(AND(YEAR(NovSun1+14)=CalendarYear,MONTH(NovSun1+14)=11),NovSun1+14,""),IF(AND(YEAR(NovSun1+21)=CalendarYear,MONTH(NovSun1+21)=11),NovSun1+21,""))</f>
        <v>44885</v>
      </c>
      <c r="P34" s="91" t="s">
        <v>29</v>
      </c>
      <c r="Q34" s="47"/>
      <c r="T34" s="53"/>
      <c r="U34" s="54"/>
    </row>
    <row r="35" spans="2:21" s="92" customFormat="1" ht="17.5" customHeight="1" x14ac:dyDescent="0.5">
      <c r="B35" s="93" t="s">
        <v>1</v>
      </c>
      <c r="C35" s="94" t="s">
        <v>31</v>
      </c>
      <c r="D35" s="95"/>
      <c r="E35" s="94" t="s">
        <v>131</v>
      </c>
      <c r="F35" s="95"/>
      <c r="G35" s="96" t="s">
        <v>134</v>
      </c>
      <c r="H35" s="95"/>
      <c r="I35" s="96" t="s">
        <v>137</v>
      </c>
      <c r="J35" s="95"/>
      <c r="K35" s="96" t="s">
        <v>41</v>
      </c>
      <c r="L35" s="95"/>
      <c r="M35" s="96" t="s">
        <v>44</v>
      </c>
      <c r="N35" s="95"/>
      <c r="O35" s="96" t="s">
        <v>32</v>
      </c>
      <c r="P35" s="95"/>
      <c r="Q35" s="97"/>
    </row>
    <row r="36" spans="2:21" s="92" customFormat="1" ht="17.5" customHeight="1" x14ac:dyDescent="0.5">
      <c r="B36" s="93"/>
      <c r="C36" s="98"/>
      <c r="D36" s="99"/>
      <c r="E36" s="98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97"/>
    </row>
    <row r="37" spans="2:21" s="92" customFormat="1" ht="17.5" customHeight="1" x14ac:dyDescent="0.5">
      <c r="B37" s="93" t="s">
        <v>3</v>
      </c>
      <c r="C37" s="98" t="s">
        <v>46</v>
      </c>
      <c r="D37" s="99"/>
      <c r="E37" s="98" t="s">
        <v>132</v>
      </c>
      <c r="F37" s="99"/>
      <c r="G37" s="100" t="s">
        <v>135</v>
      </c>
      <c r="H37" s="99"/>
      <c r="I37" s="100" t="s">
        <v>138</v>
      </c>
      <c r="J37" s="99"/>
      <c r="K37" s="100" t="s">
        <v>107</v>
      </c>
      <c r="L37" s="99"/>
      <c r="M37" s="100" t="s">
        <v>34</v>
      </c>
      <c r="N37" s="99"/>
      <c r="O37" s="100" t="s">
        <v>141</v>
      </c>
      <c r="P37" s="99"/>
      <c r="Q37" s="97"/>
    </row>
    <row r="38" spans="2:21" s="92" customFormat="1" ht="17.5" customHeight="1" x14ac:dyDescent="0.5">
      <c r="B38" s="93"/>
      <c r="C38" s="98"/>
      <c r="D38" s="99"/>
      <c r="E38" s="98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97"/>
    </row>
    <row r="39" spans="2:21" s="92" customFormat="1" ht="17.5" customHeight="1" x14ac:dyDescent="0.5">
      <c r="B39" s="93" t="s">
        <v>4</v>
      </c>
      <c r="C39" s="98" t="s">
        <v>130</v>
      </c>
      <c r="D39" s="99"/>
      <c r="E39" s="98" t="s">
        <v>52</v>
      </c>
      <c r="F39" s="99"/>
      <c r="G39" s="100" t="s">
        <v>97</v>
      </c>
      <c r="H39" s="99"/>
      <c r="I39" s="100" t="s">
        <v>139</v>
      </c>
      <c r="J39" s="99"/>
      <c r="K39" s="100" t="s">
        <v>97</v>
      </c>
      <c r="L39" s="99"/>
      <c r="M39" s="100" t="s">
        <v>77</v>
      </c>
      <c r="N39" s="99"/>
      <c r="O39" s="100" t="s">
        <v>32</v>
      </c>
      <c r="P39" s="99"/>
      <c r="Q39" s="97"/>
    </row>
    <row r="40" spans="2:21" s="92" customFormat="1" ht="17.5" customHeight="1" x14ac:dyDescent="0.5">
      <c r="B40" s="93"/>
      <c r="C40" s="98"/>
      <c r="D40" s="99"/>
      <c r="E40" s="98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97"/>
    </row>
    <row r="41" spans="2:21" s="92" customFormat="1" ht="17.5" customHeight="1" x14ac:dyDescent="0.5">
      <c r="B41" s="93" t="s">
        <v>30</v>
      </c>
      <c r="C41" s="98" t="s">
        <v>57</v>
      </c>
      <c r="D41" s="99"/>
      <c r="E41" s="98" t="s">
        <v>38</v>
      </c>
      <c r="F41" s="99"/>
      <c r="G41" s="100" t="s">
        <v>136</v>
      </c>
      <c r="H41" s="99"/>
      <c r="I41" s="100" t="s">
        <v>85</v>
      </c>
      <c r="J41" s="99"/>
      <c r="K41" s="100" t="s">
        <v>38</v>
      </c>
      <c r="L41" s="99"/>
      <c r="M41" s="100" t="s">
        <v>38</v>
      </c>
      <c r="N41" s="99"/>
      <c r="O41" s="100" t="s">
        <v>32</v>
      </c>
      <c r="P41" s="99"/>
      <c r="Q41" s="97"/>
    </row>
    <row r="42" spans="2:21" s="92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97"/>
    </row>
    <row r="43" spans="2:21" s="92" customFormat="1" ht="17.5" customHeight="1" x14ac:dyDescent="0.5">
      <c r="B43" s="93" t="s">
        <v>6</v>
      </c>
      <c r="C43" s="98" t="s">
        <v>40</v>
      </c>
      <c r="D43" s="99"/>
      <c r="E43" s="98" t="s">
        <v>133</v>
      </c>
      <c r="F43" s="99"/>
      <c r="G43" s="100" t="s">
        <v>39</v>
      </c>
      <c r="H43" s="99"/>
      <c r="I43" s="100" t="s">
        <v>140</v>
      </c>
      <c r="J43" s="99"/>
      <c r="K43" s="100" t="s">
        <v>66</v>
      </c>
      <c r="L43" s="99"/>
      <c r="M43" s="100" t="s">
        <v>40</v>
      </c>
      <c r="N43" s="99"/>
      <c r="O43" s="100" t="s">
        <v>32</v>
      </c>
      <c r="P43" s="99"/>
      <c r="Q43" s="97"/>
    </row>
    <row r="44" spans="2:21" s="92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97"/>
    </row>
    <row r="45" spans="2:21" s="92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97"/>
    </row>
    <row r="46" spans="2:21" s="92" customFormat="1" ht="17.5" customHeight="1" x14ac:dyDescent="0.5">
      <c r="B46" s="101"/>
      <c r="C46" s="102"/>
      <c r="D46" s="103"/>
      <c r="E46" s="102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97"/>
    </row>
    <row r="47" spans="2:21" s="51" customFormat="1" ht="18" customHeight="1" x14ac:dyDescent="0.3">
      <c r="B47" s="52"/>
      <c r="C47" s="55">
        <f>IF(DAY(NovSun1)=1,IF(AND(YEAR(NovSun1+15)=CalendarYear,MONTH(NovSun1+15)=11),NovSun1+15,""),IF(AND(YEAR(NovSun1+22)=CalendarYear,MONTH(NovSun1+22)=11),NovSun1+22,""))</f>
        <v>44886</v>
      </c>
      <c r="D47" s="91" t="s">
        <v>29</v>
      </c>
      <c r="E47" s="55">
        <f>IF(DAY(NovSun1)=1,IF(AND(YEAR(NovSun1+16)=CalendarYear,MONTH(NovSun1+16)=11),NovSun1+16,""),IF(AND(YEAR(NovSun1+23)=CalendarYear,MONTH(NovSun1+23)=11),NovSun1+23,""))</f>
        <v>44887</v>
      </c>
      <c r="F47" s="91" t="s">
        <v>29</v>
      </c>
      <c r="G47" s="56">
        <f>IF(DAY(NovSun1)=1,IF(AND(YEAR(NovSun1+17)=CalendarYear,MONTH(NovSun1+17)=11),NovSun1+17,""),IF(AND(YEAR(NovSun1+24)=CalendarYear,MONTH(NovSun1+24)=11),NovSun1+24,""))</f>
        <v>44888</v>
      </c>
      <c r="H47" s="91" t="s">
        <v>29</v>
      </c>
      <c r="I47" s="56">
        <f>IF(DAY(NovSun1)=1,IF(AND(YEAR(NovSun1+18)=CalendarYear,MONTH(NovSun1+18)=11),NovSun1+18,""),IF(AND(YEAR(NovSun1+25)=CalendarYear,MONTH(NovSun1+25)=11),NovSun1+25,""))</f>
        <v>44889</v>
      </c>
      <c r="J47" s="91" t="s">
        <v>29</v>
      </c>
      <c r="K47" s="56">
        <f>IF(DAY(NovSun1)=1,IF(AND(YEAR(NovSun1+19)=CalendarYear,MONTH(NovSun1+19)=11),NovSun1+19,""),IF(AND(YEAR(NovSun1+26)=CalendarYear,MONTH(NovSun1+26)=11),NovSun1+26,""))</f>
        <v>44890</v>
      </c>
      <c r="L47" s="91" t="s">
        <v>29</v>
      </c>
      <c r="M47" s="56">
        <f>IF(DAY(NovSun1)=1,IF(AND(YEAR(NovSun1+20)=CalendarYear,MONTH(NovSun1+20)=11),NovSun1+20,""),IF(AND(YEAR(NovSun1+27)=CalendarYear,MONTH(NovSun1+27)=11),NovSun1+27,""))</f>
        <v>44891</v>
      </c>
      <c r="N47" s="91" t="s">
        <v>29</v>
      </c>
      <c r="O47" s="56">
        <f>IF(DAY(NovSun1)=1,IF(AND(YEAR(NovSun1+21)=CalendarYear,MONTH(NovSun1+21)=11),NovSun1+21,""),IF(AND(YEAR(NovSun1+28)=CalendarYear,MONTH(NovSun1+28)=11),NovSun1+28,""))</f>
        <v>44892</v>
      </c>
      <c r="P47" s="91" t="s">
        <v>29</v>
      </c>
      <c r="Q47" s="47"/>
      <c r="T47" s="53"/>
      <c r="U47" s="54"/>
    </row>
    <row r="48" spans="2:21" s="92" customFormat="1" ht="17.5" customHeight="1" x14ac:dyDescent="0.5">
      <c r="B48" s="93" t="s">
        <v>1</v>
      </c>
      <c r="C48" s="105" t="s">
        <v>158</v>
      </c>
      <c r="D48" s="106"/>
      <c r="E48" s="105" t="s">
        <v>161</v>
      </c>
      <c r="F48" s="106"/>
      <c r="G48" s="107" t="s">
        <v>42</v>
      </c>
      <c r="H48" s="106"/>
      <c r="I48" s="107" t="s">
        <v>31</v>
      </c>
      <c r="J48" s="106"/>
      <c r="K48" s="107" t="s">
        <v>165</v>
      </c>
      <c r="L48" s="106"/>
      <c r="M48" s="107" t="s">
        <v>45</v>
      </c>
      <c r="N48" s="106"/>
      <c r="O48" s="107" t="s">
        <v>32</v>
      </c>
      <c r="P48" s="106"/>
      <c r="Q48" s="97"/>
    </row>
    <row r="49" spans="2:21" s="92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97"/>
    </row>
    <row r="50" spans="2:21" s="92" customFormat="1" ht="17.5" customHeight="1" x14ac:dyDescent="0.5">
      <c r="B50" s="93" t="s">
        <v>3</v>
      </c>
      <c r="C50" s="108" t="s">
        <v>159</v>
      </c>
      <c r="D50" s="109"/>
      <c r="E50" s="108" t="s">
        <v>162</v>
      </c>
      <c r="F50" s="109"/>
      <c r="G50" s="110" t="s">
        <v>164</v>
      </c>
      <c r="H50" s="109"/>
      <c r="I50" s="110" t="s">
        <v>109</v>
      </c>
      <c r="J50" s="109"/>
      <c r="K50" s="110" t="s">
        <v>163</v>
      </c>
      <c r="L50" s="109"/>
      <c r="M50" s="110" t="s">
        <v>110</v>
      </c>
      <c r="N50" s="109"/>
      <c r="O50" s="110" t="s">
        <v>32</v>
      </c>
      <c r="P50" s="109"/>
      <c r="Q50" s="97"/>
    </row>
    <row r="51" spans="2:21" s="92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 t="s">
        <v>90</v>
      </c>
      <c r="J51" s="109"/>
      <c r="K51" s="110"/>
      <c r="L51" s="109"/>
      <c r="M51" s="110"/>
      <c r="N51" s="109"/>
      <c r="O51" s="110"/>
      <c r="P51" s="109"/>
      <c r="Q51" s="97"/>
    </row>
    <row r="52" spans="2:21" s="92" customFormat="1" ht="17.5" customHeight="1" x14ac:dyDescent="0.5">
      <c r="B52" s="93" t="s">
        <v>4</v>
      </c>
      <c r="C52" s="108" t="s">
        <v>160</v>
      </c>
      <c r="D52" s="109"/>
      <c r="E52" s="108" t="s">
        <v>97</v>
      </c>
      <c r="F52" s="109"/>
      <c r="G52" s="110" t="s">
        <v>174</v>
      </c>
      <c r="H52" s="109"/>
      <c r="I52" s="110" t="s">
        <v>97</v>
      </c>
      <c r="J52" s="109"/>
      <c r="K52" s="110" t="s">
        <v>56</v>
      </c>
      <c r="L52" s="109"/>
      <c r="M52" s="110" t="s">
        <v>166</v>
      </c>
      <c r="N52" s="109"/>
      <c r="O52" s="110" t="s">
        <v>32</v>
      </c>
      <c r="P52" s="109"/>
      <c r="Q52" s="97"/>
    </row>
    <row r="53" spans="2:21" s="92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97"/>
    </row>
    <row r="54" spans="2:21" s="92" customFormat="1" ht="17.5" customHeight="1" x14ac:dyDescent="0.5">
      <c r="B54" s="93" t="s">
        <v>30</v>
      </c>
      <c r="C54" s="108" t="s">
        <v>57</v>
      </c>
      <c r="D54" s="109"/>
      <c r="E54" s="108" t="s">
        <v>38</v>
      </c>
      <c r="F54" s="109"/>
      <c r="G54" s="110" t="s">
        <v>40</v>
      </c>
      <c r="H54" s="109"/>
      <c r="I54" s="110" t="s">
        <v>38</v>
      </c>
      <c r="J54" s="109"/>
      <c r="K54" s="110" t="s">
        <v>79</v>
      </c>
      <c r="L54" s="109"/>
      <c r="M54" s="110" t="s">
        <v>127</v>
      </c>
      <c r="N54" s="109"/>
      <c r="O54" s="110" t="s">
        <v>32</v>
      </c>
      <c r="P54" s="109"/>
      <c r="Q54" s="97"/>
    </row>
    <row r="55" spans="2:21" s="92" customFormat="1" ht="17.5" customHeight="1" x14ac:dyDescent="0.5">
      <c r="B55" s="93"/>
      <c r="C55" s="108"/>
      <c r="D55" s="109"/>
      <c r="E55" s="108"/>
      <c r="F55" s="109"/>
      <c r="G55" s="110"/>
      <c r="H55" s="109"/>
      <c r="J55" s="109"/>
      <c r="K55" s="110"/>
      <c r="L55" s="109"/>
      <c r="M55" s="110"/>
      <c r="N55" s="109"/>
      <c r="O55" s="110"/>
      <c r="P55" s="109"/>
      <c r="Q55" s="97"/>
    </row>
    <row r="56" spans="2:21" s="92" customFormat="1" ht="17.5" customHeight="1" x14ac:dyDescent="0.5">
      <c r="B56" s="93" t="s">
        <v>6</v>
      </c>
      <c r="C56" s="108" t="s">
        <v>40</v>
      </c>
      <c r="D56" s="109"/>
      <c r="E56" s="108" t="s">
        <v>66</v>
      </c>
      <c r="F56" s="109"/>
      <c r="G56" s="110" t="s">
        <v>122</v>
      </c>
      <c r="H56" s="109"/>
      <c r="I56" s="110" t="s">
        <v>40</v>
      </c>
      <c r="J56" s="109"/>
      <c r="K56" s="110" t="s">
        <v>39</v>
      </c>
      <c r="L56" s="109"/>
      <c r="M56" s="110" t="s">
        <v>85</v>
      </c>
      <c r="N56" s="109"/>
      <c r="O56" s="110" t="s">
        <v>32</v>
      </c>
      <c r="P56" s="109"/>
      <c r="Q56" s="97"/>
    </row>
    <row r="57" spans="2:21" s="92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97"/>
    </row>
    <row r="58" spans="2:21" s="92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97"/>
    </row>
    <row r="59" spans="2:21" s="92" customFormat="1" ht="17.5" customHeight="1" x14ac:dyDescent="0.5">
      <c r="B59" s="101"/>
      <c r="C59" s="111"/>
      <c r="D59" s="112"/>
      <c r="E59" s="111"/>
      <c r="F59" s="112"/>
      <c r="G59" s="113"/>
      <c r="H59" s="112"/>
      <c r="I59" s="113"/>
      <c r="J59" s="112"/>
      <c r="K59" s="113"/>
      <c r="L59" s="112"/>
      <c r="M59" s="113"/>
      <c r="N59" s="112"/>
      <c r="O59" s="113"/>
      <c r="P59" s="112"/>
      <c r="Q59" s="97"/>
    </row>
    <row r="60" spans="2:21" s="51" customFormat="1" ht="18" customHeight="1" x14ac:dyDescent="0.3">
      <c r="B60" s="52"/>
      <c r="C60" s="55">
        <f>IF(DAY(NovSun1)=1,IF(AND(YEAR(NovSun1+22)=CalendarYear,MONTH(NovSun1+22)=11),NovSun1+22,""),IF(AND(YEAR(NovSun1+29)=CalendarYear,MONTH(NovSun1+29)=11),NovSun1+29,""))</f>
        <v>44893</v>
      </c>
      <c r="D60" s="91" t="s">
        <v>29</v>
      </c>
      <c r="E60" s="55">
        <f>IF(DAY(NovSun1)=1,IF(AND(YEAR(NovSun1+23)=CalendarYear,MONTH(NovSun1+23)=11),NovSun1+23,""),IF(AND(YEAR(NovSun1+30)=CalendarYear,MONTH(NovSun1+30)=11),NovSun1+30,""))</f>
        <v>44894</v>
      </c>
      <c r="F60" s="91" t="s">
        <v>29</v>
      </c>
      <c r="G60" s="56">
        <f>IF(DAY(NovSun1)=1,IF(AND(YEAR(NovSun1+24)=CalendarYear,MONTH(NovSun1+24)=11),NovSun1+24,""),IF(AND(YEAR(NovSun1+31)=CalendarYear,MONTH(NovSun1+31)=11),NovSun1+31,""))</f>
        <v>44895</v>
      </c>
      <c r="H60" s="91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91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91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91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91" t="s">
        <v>29</v>
      </c>
      <c r="Q60" s="47"/>
      <c r="T60" s="53"/>
      <c r="U60" s="54"/>
    </row>
    <row r="61" spans="2:21" s="92" customFormat="1" ht="17.5" customHeight="1" x14ac:dyDescent="0.5">
      <c r="B61" s="93" t="s">
        <v>1</v>
      </c>
      <c r="C61" s="94" t="s">
        <v>143</v>
      </c>
      <c r="D61" s="95"/>
      <c r="E61" s="94" t="s">
        <v>31</v>
      </c>
      <c r="F61" s="95"/>
      <c r="G61" s="96"/>
      <c r="H61" s="95"/>
      <c r="I61" s="96"/>
      <c r="J61" s="95"/>
      <c r="K61" s="94"/>
      <c r="L61" s="95"/>
      <c r="M61" s="96"/>
      <c r="N61" s="95"/>
      <c r="O61" s="96"/>
      <c r="P61" s="95"/>
      <c r="Q61" s="97"/>
    </row>
    <row r="62" spans="2:21" s="92" customFormat="1" ht="17.5" customHeight="1" x14ac:dyDescent="0.5">
      <c r="B62" s="93"/>
      <c r="C62" s="98"/>
      <c r="D62" s="99"/>
      <c r="E62" s="98"/>
      <c r="F62" s="99"/>
      <c r="G62" s="100"/>
      <c r="H62" s="99"/>
      <c r="I62" s="100"/>
      <c r="J62" s="99"/>
      <c r="K62" s="98"/>
      <c r="L62" s="99"/>
      <c r="M62" s="100"/>
      <c r="N62" s="99"/>
      <c r="O62" s="100"/>
      <c r="P62" s="99"/>
      <c r="Q62" s="97"/>
    </row>
    <row r="63" spans="2:21" s="92" customFormat="1" ht="17.5" customHeight="1" x14ac:dyDescent="0.5">
      <c r="B63" s="93" t="s">
        <v>3</v>
      </c>
      <c r="C63" s="98" t="s">
        <v>167</v>
      </c>
      <c r="D63" s="99"/>
      <c r="E63" s="98" t="s">
        <v>169</v>
      </c>
      <c r="F63" s="99"/>
      <c r="G63" s="100"/>
      <c r="H63" s="99"/>
      <c r="I63" s="100"/>
      <c r="J63" s="99"/>
      <c r="K63" s="98"/>
      <c r="L63" s="99"/>
      <c r="M63" s="100"/>
      <c r="N63" s="99"/>
      <c r="O63" s="100"/>
      <c r="P63" s="99"/>
      <c r="Q63" s="97"/>
    </row>
    <row r="64" spans="2:21" s="92" customFormat="1" ht="17.5" customHeight="1" x14ac:dyDescent="0.5">
      <c r="B64" s="93"/>
      <c r="C64" s="98"/>
      <c r="D64" s="99"/>
      <c r="E64" s="98"/>
      <c r="F64" s="99"/>
      <c r="G64" s="100"/>
      <c r="H64" s="99"/>
      <c r="I64" s="100"/>
      <c r="J64" s="99"/>
      <c r="K64" s="98"/>
      <c r="L64" s="99"/>
      <c r="M64" s="100"/>
      <c r="N64" s="99"/>
      <c r="O64" s="100"/>
      <c r="P64" s="99"/>
      <c r="Q64" s="97"/>
    </row>
    <row r="65" spans="1:21" s="92" customFormat="1" ht="17.5" customHeight="1" x14ac:dyDescent="0.5">
      <c r="B65" s="93" t="s">
        <v>4</v>
      </c>
      <c r="C65" s="98" t="s">
        <v>77</v>
      </c>
      <c r="D65" s="99"/>
      <c r="E65" s="98" t="s">
        <v>97</v>
      </c>
      <c r="F65" s="99"/>
      <c r="G65" s="100"/>
      <c r="H65" s="99"/>
      <c r="I65" s="100"/>
      <c r="J65" s="99"/>
      <c r="K65" s="98"/>
      <c r="L65" s="99"/>
      <c r="M65" s="100"/>
      <c r="N65" s="99"/>
      <c r="O65" s="100"/>
      <c r="P65" s="99"/>
      <c r="Q65" s="97"/>
    </row>
    <row r="66" spans="1:21" s="92" customFormat="1" ht="17.5" customHeight="1" x14ac:dyDescent="0.5">
      <c r="B66" s="93"/>
      <c r="C66" s="98"/>
      <c r="D66" s="99"/>
      <c r="E66" s="98"/>
      <c r="F66" s="99"/>
      <c r="G66" s="100"/>
      <c r="H66" s="99"/>
      <c r="I66" s="100"/>
      <c r="J66" s="99"/>
      <c r="K66" s="98"/>
      <c r="L66" s="99"/>
      <c r="M66" s="100"/>
      <c r="N66" s="99"/>
      <c r="O66" s="100"/>
      <c r="P66" s="99"/>
      <c r="Q66" s="97"/>
    </row>
    <row r="67" spans="1:21" s="92" customFormat="1" ht="17.5" customHeight="1" x14ac:dyDescent="0.5">
      <c r="B67" s="93" t="s">
        <v>30</v>
      </c>
      <c r="C67" s="98" t="s">
        <v>38</v>
      </c>
      <c r="D67" s="99"/>
      <c r="E67" s="98" t="s">
        <v>39</v>
      </c>
      <c r="F67" s="99"/>
      <c r="G67" s="100"/>
      <c r="H67" s="99"/>
      <c r="I67" s="100"/>
      <c r="J67" s="99"/>
      <c r="K67" s="98"/>
      <c r="L67" s="99"/>
      <c r="M67" s="100"/>
      <c r="N67" s="99"/>
      <c r="O67" s="100"/>
      <c r="P67" s="99"/>
      <c r="Q67" s="97"/>
    </row>
    <row r="68" spans="1:21" s="92" customFormat="1" ht="17.5" customHeight="1" x14ac:dyDescent="0.5">
      <c r="B68" s="93"/>
      <c r="C68" s="98"/>
      <c r="D68" s="99"/>
      <c r="E68" s="98"/>
      <c r="F68" s="99"/>
      <c r="G68" s="100"/>
      <c r="H68" s="99"/>
      <c r="I68" s="100"/>
      <c r="J68" s="99"/>
      <c r="K68" s="98"/>
      <c r="L68" s="99"/>
      <c r="M68" s="100"/>
      <c r="N68" s="99"/>
      <c r="O68" s="100"/>
      <c r="P68" s="99"/>
      <c r="Q68" s="97"/>
    </row>
    <row r="69" spans="1:21" s="92" customFormat="1" ht="17.5" customHeight="1" x14ac:dyDescent="0.5">
      <c r="B69" s="93" t="s">
        <v>6</v>
      </c>
      <c r="C69" s="98" t="s">
        <v>168</v>
      </c>
      <c r="D69" s="99"/>
      <c r="E69" s="98" t="s">
        <v>170</v>
      </c>
      <c r="F69" s="99"/>
      <c r="G69" s="100"/>
      <c r="H69" s="99"/>
      <c r="I69" s="100"/>
      <c r="J69" s="99"/>
      <c r="K69" s="98"/>
      <c r="L69" s="99"/>
      <c r="M69" s="100"/>
      <c r="N69" s="99"/>
      <c r="O69" s="100"/>
      <c r="P69" s="99"/>
      <c r="Q69" s="97"/>
    </row>
    <row r="70" spans="1:21" s="92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97"/>
    </row>
    <row r="71" spans="1:21" s="92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97"/>
    </row>
    <row r="72" spans="1:21" s="92" customFormat="1" ht="17.5" customHeight="1" x14ac:dyDescent="0.5">
      <c r="B72" s="101"/>
      <c r="C72" s="102"/>
      <c r="D72" s="103"/>
      <c r="E72" s="102"/>
      <c r="F72" s="103"/>
      <c r="G72" s="104"/>
      <c r="H72" s="103"/>
      <c r="I72" s="104"/>
      <c r="J72" s="103"/>
      <c r="K72" s="104"/>
      <c r="L72" s="103"/>
      <c r="M72" s="104"/>
      <c r="N72" s="103"/>
      <c r="O72" s="104"/>
      <c r="P72" s="103"/>
      <c r="Q72" s="97"/>
    </row>
    <row r="73" spans="1:21" s="89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91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97"/>
      <c r="T73" s="92"/>
      <c r="U73" s="76"/>
    </row>
    <row r="74" spans="1:21" s="92" customFormat="1" ht="17.5" customHeight="1" x14ac:dyDescent="0.5">
      <c r="B74" s="93" t="s">
        <v>1</v>
      </c>
      <c r="C74" s="105"/>
      <c r="D74" s="106"/>
      <c r="E74" s="105"/>
      <c r="F74" s="106"/>
      <c r="G74" s="249" t="s">
        <v>172</v>
      </c>
      <c r="H74" s="250"/>
      <c r="I74" s="250"/>
      <c r="J74" s="250"/>
      <c r="K74" s="250"/>
      <c r="L74" s="250"/>
      <c r="M74" s="250"/>
      <c r="N74" s="250"/>
      <c r="O74" s="250"/>
      <c r="P74" s="251"/>
      <c r="Q74" s="97"/>
    </row>
    <row r="75" spans="1:21" s="92" customFormat="1" ht="17.5" customHeight="1" x14ac:dyDescent="0.5">
      <c r="B75" s="93"/>
      <c r="C75" s="108"/>
      <c r="D75" s="109"/>
      <c r="E75" s="108"/>
      <c r="F75" s="109"/>
      <c r="G75" s="252"/>
      <c r="H75" s="253"/>
      <c r="I75" s="253"/>
      <c r="J75" s="253"/>
      <c r="K75" s="253"/>
      <c r="L75" s="253"/>
      <c r="M75" s="253"/>
      <c r="N75" s="253"/>
      <c r="O75" s="253"/>
      <c r="P75" s="254"/>
      <c r="Q75" s="97"/>
    </row>
    <row r="76" spans="1:21" s="92" customFormat="1" ht="17.5" customHeight="1" x14ac:dyDescent="0.5">
      <c r="B76" s="93" t="s">
        <v>3</v>
      </c>
      <c r="C76" s="108"/>
      <c r="D76" s="109"/>
      <c r="E76" s="108"/>
      <c r="F76" s="109"/>
      <c r="G76" s="252"/>
      <c r="H76" s="253"/>
      <c r="I76" s="253"/>
      <c r="J76" s="253"/>
      <c r="K76" s="253"/>
      <c r="L76" s="253"/>
      <c r="M76" s="253"/>
      <c r="N76" s="253"/>
      <c r="O76" s="253"/>
      <c r="P76" s="254"/>
      <c r="Q76" s="97"/>
    </row>
    <row r="77" spans="1:21" s="92" customFormat="1" ht="17.5" customHeight="1" x14ac:dyDescent="0.5">
      <c r="B77" s="93"/>
      <c r="C77" s="108"/>
      <c r="D77" s="109"/>
      <c r="E77" s="108"/>
      <c r="F77" s="109"/>
      <c r="G77" s="252"/>
      <c r="H77" s="253"/>
      <c r="I77" s="253"/>
      <c r="J77" s="253"/>
      <c r="K77" s="253"/>
      <c r="L77" s="253"/>
      <c r="M77" s="253"/>
      <c r="N77" s="253"/>
      <c r="O77" s="253"/>
      <c r="P77" s="254"/>
      <c r="Q77" s="97"/>
    </row>
    <row r="78" spans="1:21" s="92" customFormat="1" ht="17.5" customHeight="1" x14ac:dyDescent="0.5">
      <c r="B78" s="93" t="s">
        <v>4</v>
      </c>
      <c r="C78" s="108"/>
      <c r="D78" s="109"/>
      <c r="E78" s="108"/>
      <c r="F78" s="109"/>
      <c r="G78" s="252"/>
      <c r="H78" s="253"/>
      <c r="I78" s="253"/>
      <c r="J78" s="253"/>
      <c r="K78" s="253"/>
      <c r="L78" s="253"/>
      <c r="M78" s="253"/>
      <c r="N78" s="253"/>
      <c r="O78" s="253"/>
      <c r="P78" s="254"/>
      <c r="Q78" s="97"/>
    </row>
    <row r="79" spans="1:21" s="92" customFormat="1" ht="17.5" customHeight="1" x14ac:dyDescent="0.5">
      <c r="B79" s="93"/>
      <c r="C79" s="108"/>
      <c r="D79" s="109"/>
      <c r="E79" s="108"/>
      <c r="F79" s="109"/>
      <c r="G79" s="252"/>
      <c r="H79" s="253"/>
      <c r="I79" s="253"/>
      <c r="J79" s="253"/>
      <c r="K79" s="253"/>
      <c r="L79" s="253"/>
      <c r="M79" s="253"/>
      <c r="N79" s="253"/>
      <c r="O79" s="253"/>
      <c r="P79" s="254"/>
      <c r="Q79" s="97"/>
    </row>
    <row r="80" spans="1:21" s="92" customFormat="1" ht="17.5" customHeight="1" x14ac:dyDescent="0.5">
      <c r="B80" s="93" t="s">
        <v>30</v>
      </c>
      <c r="C80" s="108"/>
      <c r="D80" s="109"/>
      <c r="E80" s="108"/>
      <c r="F80" s="109"/>
      <c r="G80" s="252"/>
      <c r="H80" s="253"/>
      <c r="I80" s="253"/>
      <c r="J80" s="253"/>
      <c r="K80" s="253"/>
      <c r="L80" s="253"/>
      <c r="M80" s="253"/>
      <c r="N80" s="253"/>
      <c r="O80" s="253"/>
      <c r="P80" s="254"/>
      <c r="Q80" s="97"/>
    </row>
    <row r="81" spans="1:17" s="92" customFormat="1" ht="17.5" customHeight="1" x14ac:dyDescent="0.5">
      <c r="B81" s="93"/>
      <c r="C81" s="108"/>
      <c r="D81" s="109"/>
      <c r="E81" s="108"/>
      <c r="F81" s="109"/>
      <c r="G81" s="252"/>
      <c r="H81" s="253"/>
      <c r="I81" s="253"/>
      <c r="J81" s="253"/>
      <c r="K81" s="253"/>
      <c r="L81" s="253"/>
      <c r="M81" s="253"/>
      <c r="N81" s="253"/>
      <c r="O81" s="253"/>
      <c r="P81" s="254"/>
      <c r="Q81" s="97"/>
    </row>
    <row r="82" spans="1:17" s="92" customFormat="1" ht="17.5" customHeight="1" x14ac:dyDescent="0.5">
      <c r="B82" s="93" t="s">
        <v>6</v>
      </c>
      <c r="C82" s="108"/>
      <c r="D82" s="109"/>
      <c r="E82" s="108"/>
      <c r="F82" s="109"/>
      <c r="G82" s="252"/>
      <c r="H82" s="253"/>
      <c r="I82" s="253"/>
      <c r="J82" s="253"/>
      <c r="K82" s="253"/>
      <c r="L82" s="253"/>
      <c r="M82" s="253"/>
      <c r="N82" s="253"/>
      <c r="O82" s="253"/>
      <c r="P82" s="254"/>
      <c r="Q82" s="97"/>
    </row>
    <row r="83" spans="1:17" s="92" customFormat="1" ht="17.5" customHeight="1" x14ac:dyDescent="0.5">
      <c r="B83" s="93"/>
      <c r="C83" s="108"/>
      <c r="D83" s="109"/>
      <c r="E83" s="108"/>
      <c r="F83" s="109"/>
      <c r="G83" s="252"/>
      <c r="H83" s="253"/>
      <c r="I83" s="253"/>
      <c r="J83" s="253"/>
      <c r="K83" s="253"/>
      <c r="L83" s="253"/>
      <c r="M83" s="253"/>
      <c r="N83" s="253"/>
      <c r="O83" s="253"/>
      <c r="P83" s="254"/>
      <c r="Q83" s="97"/>
    </row>
    <row r="84" spans="1:17" s="92" customFormat="1" ht="17.5" customHeight="1" x14ac:dyDescent="0.5">
      <c r="B84" s="93"/>
      <c r="C84" s="108"/>
      <c r="D84" s="109"/>
      <c r="E84" s="108"/>
      <c r="F84" s="109"/>
      <c r="G84" s="252"/>
      <c r="H84" s="253"/>
      <c r="I84" s="253"/>
      <c r="J84" s="253"/>
      <c r="K84" s="253"/>
      <c r="L84" s="253"/>
      <c r="M84" s="253"/>
      <c r="N84" s="253"/>
      <c r="O84" s="253"/>
      <c r="P84" s="254"/>
      <c r="Q84" s="97"/>
    </row>
    <row r="85" spans="1:17" s="92" customFormat="1" ht="17.5" customHeight="1" x14ac:dyDescent="0.5">
      <c r="B85" s="101"/>
      <c r="C85" s="111" t="s">
        <v>5</v>
      </c>
      <c r="D85" s="112"/>
      <c r="E85" s="111" t="s">
        <v>5</v>
      </c>
      <c r="F85" s="112"/>
      <c r="G85" s="255"/>
      <c r="H85" s="256"/>
      <c r="I85" s="256"/>
      <c r="J85" s="256"/>
      <c r="K85" s="256"/>
      <c r="L85" s="256"/>
      <c r="M85" s="256"/>
      <c r="N85" s="256"/>
      <c r="O85" s="256"/>
      <c r="P85" s="257"/>
      <c r="Q85" s="97"/>
    </row>
    <row r="86" spans="1:17" ht="22.75" customHeight="1" x14ac:dyDescent="0.4">
      <c r="B86" s="315" t="s">
        <v>27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</row>
    <row r="87" spans="1:17" ht="22.75" customHeight="1" x14ac:dyDescent="0.4">
      <c r="A87" s="92"/>
      <c r="B87" s="270" t="s">
        <v>28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</row>
    <row r="88" spans="1:17" ht="20.5" x14ac:dyDescent="0.4">
      <c r="A88" s="92"/>
    </row>
    <row r="89" spans="1:17" ht="20.5" x14ac:dyDescent="0.4">
      <c r="A89" s="92"/>
    </row>
    <row r="90" spans="1:17" ht="21" customHeight="1" x14ac:dyDescent="0.4">
      <c r="A90" s="92"/>
      <c r="E90" s="116"/>
      <c r="F90" s="117"/>
      <c r="G90" s="118"/>
      <c r="H90" s="119"/>
      <c r="I90" s="120"/>
      <c r="J90" s="121"/>
    </row>
    <row r="91" spans="1:17" ht="19.5" customHeight="1" x14ac:dyDescent="0.4">
      <c r="A91" s="92"/>
    </row>
    <row r="92" spans="1:17" x14ac:dyDescent="0.4">
      <c r="A92" s="89"/>
    </row>
    <row r="93" spans="1:17" ht="20.5" x14ac:dyDescent="0.4">
      <c r="A93" s="92"/>
    </row>
    <row r="94" spans="1:17" ht="20.5" x14ac:dyDescent="0.4">
      <c r="A94" s="92"/>
    </row>
    <row r="95" spans="1:17" ht="20.5" x14ac:dyDescent="0.4">
      <c r="A95" s="92"/>
    </row>
    <row r="96" spans="1:17" ht="20.5" x14ac:dyDescent="0.4">
      <c r="A96" s="92"/>
    </row>
    <row r="97" spans="1:1" ht="20.5" x14ac:dyDescent="0.4">
      <c r="A97" s="92"/>
    </row>
    <row r="98" spans="1:1" ht="20.5" x14ac:dyDescent="0.4">
      <c r="A98" s="92"/>
    </row>
    <row r="99" spans="1:1" ht="20.5" x14ac:dyDescent="0.4">
      <c r="A99" s="92"/>
    </row>
    <row r="100" spans="1:1" ht="20.5" x14ac:dyDescent="0.4">
      <c r="A100" s="92"/>
    </row>
    <row r="101" spans="1:1" ht="20.5" x14ac:dyDescent="0.4">
      <c r="A101" s="92"/>
    </row>
    <row r="102" spans="1:1" ht="20.5" x14ac:dyDescent="0.4">
      <c r="A102" s="92"/>
    </row>
    <row r="103" spans="1:1" ht="20.5" x14ac:dyDescent="0.4">
      <c r="A103" s="92"/>
    </row>
    <row r="104" spans="1:1" ht="20.5" x14ac:dyDescent="0.4">
      <c r="A104" s="92"/>
    </row>
    <row r="105" spans="1:1" x14ac:dyDescent="0.4">
      <c r="A105" s="89"/>
    </row>
    <row r="106" spans="1:1" ht="20.5" x14ac:dyDescent="0.4">
      <c r="A106" s="92"/>
    </row>
    <row r="107" spans="1:1" ht="20.5" x14ac:dyDescent="0.4">
      <c r="A107" s="92"/>
    </row>
    <row r="108" spans="1:1" ht="20.5" x14ac:dyDescent="0.4">
      <c r="A108" s="92"/>
    </row>
    <row r="109" spans="1:1" ht="20.5" x14ac:dyDescent="0.4">
      <c r="A109" s="92"/>
    </row>
    <row r="110" spans="1:1" ht="20.5" x14ac:dyDescent="0.4">
      <c r="A110" s="92"/>
    </row>
    <row r="111" spans="1:1" ht="20.5" x14ac:dyDescent="0.4">
      <c r="A111" s="92"/>
    </row>
    <row r="112" spans="1:1" ht="20.5" x14ac:dyDescent="0.4">
      <c r="A112" s="92"/>
    </row>
    <row r="113" spans="1:1" ht="20.5" x14ac:dyDescent="0.4">
      <c r="A113" s="92"/>
    </row>
    <row r="114" spans="1:1" ht="20.5" x14ac:dyDescent="0.4">
      <c r="A114" s="92"/>
    </row>
    <row r="115" spans="1:1" ht="20.5" x14ac:dyDescent="0.4">
      <c r="A115" s="92"/>
    </row>
    <row r="116" spans="1:1" ht="20.5" x14ac:dyDescent="0.4">
      <c r="A116" s="92"/>
    </row>
    <row r="117" spans="1:1" ht="20.5" x14ac:dyDescent="0.4">
      <c r="A117" s="92"/>
    </row>
    <row r="118" spans="1:1" x14ac:dyDescent="0.4">
      <c r="A118" s="89"/>
    </row>
    <row r="119" spans="1:1" ht="20.5" x14ac:dyDescent="0.4">
      <c r="A119" s="92"/>
    </row>
    <row r="120" spans="1:1" ht="20.5" x14ac:dyDescent="0.4">
      <c r="A120" s="92"/>
    </row>
    <row r="121" spans="1:1" ht="20.5" x14ac:dyDescent="0.4">
      <c r="A121" s="92"/>
    </row>
    <row r="122" spans="1:1" ht="20.5" x14ac:dyDescent="0.4">
      <c r="A122" s="92"/>
    </row>
    <row r="123" spans="1:1" ht="20.5" x14ac:dyDescent="0.4">
      <c r="A123" s="92"/>
    </row>
    <row r="124" spans="1:1" ht="20.5" x14ac:dyDescent="0.4">
      <c r="A124" s="92"/>
    </row>
    <row r="125" spans="1:1" ht="20.5" x14ac:dyDescent="0.4">
      <c r="A125" s="92"/>
    </row>
    <row r="126" spans="1:1" ht="20.5" x14ac:dyDescent="0.4">
      <c r="A126" s="92"/>
    </row>
    <row r="127" spans="1:1" ht="20.5" x14ac:dyDescent="0.4">
      <c r="A127" s="92"/>
    </row>
    <row r="128" spans="1:1" ht="20.5" x14ac:dyDescent="0.4">
      <c r="A128" s="92"/>
    </row>
    <row r="129" spans="1:1" ht="20.5" x14ac:dyDescent="0.4">
      <c r="A129" s="92"/>
    </row>
    <row r="130" spans="1:1" ht="20.5" x14ac:dyDescent="0.4">
      <c r="A130" s="92"/>
    </row>
    <row r="131" spans="1:1" x14ac:dyDescent="0.4">
      <c r="A131" s="89"/>
    </row>
    <row r="132" spans="1:1" ht="20.5" x14ac:dyDescent="0.4">
      <c r="A132" s="92"/>
    </row>
    <row r="133" spans="1:1" ht="20.5" x14ac:dyDescent="0.4">
      <c r="A133" s="92"/>
    </row>
    <row r="134" spans="1:1" ht="20.5" x14ac:dyDescent="0.4">
      <c r="A134" s="92"/>
    </row>
    <row r="135" spans="1:1" ht="20.5" x14ac:dyDescent="0.4">
      <c r="A135" s="92"/>
    </row>
    <row r="136" spans="1:1" ht="20.5" x14ac:dyDescent="0.4">
      <c r="A136" s="92"/>
    </row>
    <row r="137" spans="1:1" ht="20.5" x14ac:dyDescent="0.4">
      <c r="A137" s="92"/>
    </row>
    <row r="138" spans="1:1" ht="20.5" x14ac:dyDescent="0.4">
      <c r="A138" s="92"/>
    </row>
    <row r="139" spans="1:1" ht="20.5" x14ac:dyDescent="0.4">
      <c r="A139" s="92"/>
    </row>
    <row r="140" spans="1:1" ht="20.5" x14ac:dyDescent="0.4">
      <c r="A140" s="92"/>
    </row>
    <row r="141" spans="1:1" ht="20.5" x14ac:dyDescent="0.4">
      <c r="A141" s="92"/>
    </row>
    <row r="142" spans="1:1" ht="20.5" x14ac:dyDescent="0.4">
      <c r="A142" s="92"/>
    </row>
    <row r="143" spans="1:1" ht="20.5" x14ac:dyDescent="0.4">
      <c r="A143" s="92"/>
    </row>
    <row r="144" spans="1:1" x14ac:dyDescent="0.4">
      <c r="A144" s="89"/>
    </row>
    <row r="145" spans="1:1" ht="20.5" x14ac:dyDescent="0.4">
      <c r="A145" s="92"/>
    </row>
    <row r="146" spans="1:1" ht="20.5" x14ac:dyDescent="0.4">
      <c r="A146" s="92"/>
    </row>
    <row r="147" spans="1:1" ht="20.5" x14ac:dyDescent="0.4">
      <c r="A147" s="92"/>
    </row>
    <row r="148" spans="1:1" ht="20.5" x14ac:dyDescent="0.4">
      <c r="A148" s="92"/>
    </row>
    <row r="149" spans="1:1" ht="20.5" x14ac:dyDescent="0.4">
      <c r="A149" s="92"/>
    </row>
    <row r="150" spans="1:1" ht="20.5" x14ac:dyDescent="0.4">
      <c r="A150" s="92"/>
    </row>
    <row r="151" spans="1:1" ht="20.5" x14ac:dyDescent="0.4">
      <c r="A151" s="92"/>
    </row>
    <row r="152" spans="1:1" ht="20.5" x14ac:dyDescent="0.4">
      <c r="A152" s="92"/>
    </row>
    <row r="153" spans="1:1" ht="20.5" x14ac:dyDescent="0.4">
      <c r="A153" s="92"/>
    </row>
    <row r="154" spans="1:1" ht="20.5" x14ac:dyDescent="0.4">
      <c r="A154" s="92"/>
    </row>
    <row r="155" spans="1:1" ht="20.5" x14ac:dyDescent="0.4">
      <c r="A155" s="92"/>
    </row>
    <row r="156" spans="1:1" ht="20.5" x14ac:dyDescent="0.4">
      <c r="A156" s="92"/>
    </row>
    <row r="159" spans="1:1" ht="20.5" x14ac:dyDescent="0.4">
      <c r="A159" s="92"/>
    </row>
    <row r="160" spans="1:1" ht="20.5" x14ac:dyDescent="0.4">
      <c r="A160" s="92"/>
    </row>
    <row r="161" spans="1:1" ht="20.5" x14ac:dyDescent="0.4">
      <c r="A161" s="92"/>
    </row>
    <row r="162" spans="1:1" ht="20.5" x14ac:dyDescent="0.4">
      <c r="A162" s="92"/>
    </row>
    <row r="163" spans="1:1" x14ac:dyDescent="0.4">
      <c r="A163" s="89"/>
    </row>
    <row r="164" spans="1:1" ht="20.5" x14ac:dyDescent="0.4">
      <c r="A164" s="92"/>
    </row>
    <row r="165" spans="1:1" ht="20.5" x14ac:dyDescent="0.4">
      <c r="A165" s="92"/>
    </row>
    <row r="166" spans="1:1" ht="20.5" x14ac:dyDescent="0.4">
      <c r="A166" s="92"/>
    </row>
    <row r="167" spans="1:1" ht="20.5" x14ac:dyDescent="0.4">
      <c r="A167" s="92"/>
    </row>
    <row r="168" spans="1:1" ht="20.5" x14ac:dyDescent="0.4">
      <c r="A168" s="92"/>
    </row>
    <row r="169" spans="1:1" ht="20.5" x14ac:dyDescent="0.4">
      <c r="A169" s="92"/>
    </row>
    <row r="170" spans="1:1" ht="20.5" x14ac:dyDescent="0.4">
      <c r="A170" s="92"/>
    </row>
    <row r="171" spans="1:1" ht="20.5" x14ac:dyDescent="0.4">
      <c r="A171" s="92"/>
    </row>
    <row r="172" spans="1:1" ht="20.5" x14ac:dyDescent="0.4">
      <c r="A172" s="92"/>
    </row>
    <row r="173" spans="1:1" ht="20.5" x14ac:dyDescent="0.4">
      <c r="A173" s="92"/>
    </row>
    <row r="174" spans="1:1" ht="20.5" x14ac:dyDescent="0.4">
      <c r="A174" s="92"/>
    </row>
    <row r="175" spans="1:1" ht="20.5" x14ac:dyDescent="0.4">
      <c r="A175" s="92"/>
    </row>
    <row r="176" spans="1:1" x14ac:dyDescent="0.4">
      <c r="A176" s="89"/>
    </row>
    <row r="177" spans="1:1" ht="20.5" x14ac:dyDescent="0.4">
      <c r="A177" s="92"/>
    </row>
    <row r="178" spans="1:1" ht="20.5" x14ac:dyDescent="0.4">
      <c r="A178" s="92"/>
    </row>
    <row r="179" spans="1:1" ht="20.5" x14ac:dyDescent="0.4">
      <c r="A179" s="92"/>
    </row>
    <row r="180" spans="1:1" ht="20.5" x14ac:dyDescent="0.4">
      <c r="A180" s="92"/>
    </row>
    <row r="181" spans="1:1" ht="20.5" x14ac:dyDescent="0.4">
      <c r="A181" s="92"/>
    </row>
    <row r="182" spans="1:1" ht="20.5" x14ac:dyDescent="0.4">
      <c r="A182" s="92"/>
    </row>
    <row r="183" spans="1:1" ht="20.5" x14ac:dyDescent="0.4">
      <c r="A183" s="92"/>
    </row>
    <row r="184" spans="1:1" ht="20.5" x14ac:dyDescent="0.4">
      <c r="A184" s="92"/>
    </row>
    <row r="185" spans="1:1" ht="20.5" x14ac:dyDescent="0.4">
      <c r="A185" s="92"/>
    </row>
    <row r="186" spans="1:1" ht="20.5" x14ac:dyDescent="0.4">
      <c r="A186" s="92"/>
    </row>
    <row r="187" spans="1:1" ht="20.5" x14ac:dyDescent="0.4">
      <c r="A187" s="92"/>
    </row>
    <row r="188" spans="1:1" ht="20.5" x14ac:dyDescent="0.4">
      <c r="A188" s="92"/>
    </row>
    <row r="189" spans="1:1" x14ac:dyDescent="0.4">
      <c r="A189" s="89"/>
    </row>
    <row r="190" spans="1:1" ht="20.5" x14ac:dyDescent="0.4">
      <c r="A190" s="92"/>
    </row>
    <row r="191" spans="1:1" ht="20.5" x14ac:dyDescent="0.4">
      <c r="A191" s="92"/>
    </row>
    <row r="192" spans="1:1" ht="20.5" x14ac:dyDescent="0.4">
      <c r="A192" s="92"/>
    </row>
    <row r="193" spans="1:1" ht="20.5" x14ac:dyDescent="0.4">
      <c r="A193" s="92"/>
    </row>
    <row r="194" spans="1:1" ht="20.5" x14ac:dyDescent="0.4">
      <c r="A194" s="92"/>
    </row>
    <row r="195" spans="1:1" ht="20.5" x14ac:dyDescent="0.4">
      <c r="A195" s="92"/>
    </row>
    <row r="196" spans="1:1" ht="20.5" x14ac:dyDescent="0.4">
      <c r="A196" s="92"/>
    </row>
    <row r="197" spans="1:1" ht="20.5" x14ac:dyDescent="0.4">
      <c r="A197" s="92"/>
    </row>
    <row r="198" spans="1:1" ht="20.5" x14ac:dyDescent="0.4">
      <c r="A198" s="92"/>
    </row>
    <row r="199" spans="1:1" ht="20.5" x14ac:dyDescent="0.4">
      <c r="A199" s="92"/>
    </row>
    <row r="200" spans="1:1" ht="20.5" x14ac:dyDescent="0.4">
      <c r="A200" s="92"/>
    </row>
    <row r="201" spans="1:1" ht="20.5" x14ac:dyDescent="0.4">
      <c r="A201" s="92"/>
    </row>
    <row r="202" spans="1:1" x14ac:dyDescent="0.4">
      <c r="A202" s="89"/>
    </row>
    <row r="203" spans="1:1" ht="20.5" x14ac:dyDescent="0.4">
      <c r="A203" s="92"/>
    </row>
    <row r="204" spans="1:1" ht="20.5" x14ac:dyDescent="0.4">
      <c r="A204" s="92"/>
    </row>
    <row r="205" spans="1:1" ht="20.5" x14ac:dyDescent="0.4">
      <c r="A205" s="92"/>
    </row>
    <row r="206" spans="1:1" ht="20.5" x14ac:dyDescent="0.4">
      <c r="A206" s="92"/>
    </row>
    <row r="207" spans="1:1" ht="20.5" x14ac:dyDescent="0.4">
      <c r="A207" s="92"/>
    </row>
    <row r="208" spans="1:1" ht="20.5" x14ac:dyDescent="0.4">
      <c r="A208" s="92"/>
    </row>
    <row r="209" spans="1:1" ht="20.5" x14ac:dyDescent="0.4">
      <c r="A209" s="92"/>
    </row>
    <row r="210" spans="1:1" ht="20.5" x14ac:dyDescent="0.4">
      <c r="A210" s="92"/>
    </row>
    <row r="211" spans="1:1" ht="20.5" x14ac:dyDescent="0.4">
      <c r="A211" s="92"/>
    </row>
    <row r="212" spans="1:1" ht="20.5" x14ac:dyDescent="0.4">
      <c r="A212" s="92"/>
    </row>
    <row r="213" spans="1:1" ht="20.5" x14ac:dyDescent="0.4">
      <c r="A213" s="92"/>
    </row>
    <row r="214" spans="1:1" ht="20.5" x14ac:dyDescent="0.4">
      <c r="A214" s="92"/>
    </row>
    <row r="215" spans="1:1" x14ac:dyDescent="0.4">
      <c r="A215" s="89"/>
    </row>
    <row r="216" spans="1:1" ht="20.5" x14ac:dyDescent="0.4">
      <c r="A216" s="92"/>
    </row>
    <row r="217" spans="1:1" ht="20.5" x14ac:dyDescent="0.4">
      <c r="A217" s="92"/>
    </row>
    <row r="218" spans="1:1" ht="20.5" x14ac:dyDescent="0.4">
      <c r="A218" s="92"/>
    </row>
    <row r="219" spans="1:1" ht="20.5" x14ac:dyDescent="0.4">
      <c r="A219" s="92"/>
    </row>
    <row r="220" spans="1:1" ht="20.5" x14ac:dyDescent="0.4">
      <c r="A220" s="92"/>
    </row>
    <row r="221" spans="1:1" ht="20.5" x14ac:dyDescent="0.4">
      <c r="A221" s="92"/>
    </row>
    <row r="222" spans="1:1" ht="20.5" x14ac:dyDescent="0.4">
      <c r="A222" s="92"/>
    </row>
    <row r="223" spans="1:1" ht="20.5" x14ac:dyDescent="0.4">
      <c r="A223" s="92"/>
    </row>
    <row r="224" spans="1:1" ht="20.5" x14ac:dyDescent="0.4">
      <c r="A224" s="92"/>
    </row>
    <row r="225" spans="1:1" ht="20.5" x14ac:dyDescent="0.4">
      <c r="A225" s="92"/>
    </row>
    <row r="226" spans="1:1" ht="20.5" x14ac:dyDescent="0.4">
      <c r="A226" s="92"/>
    </row>
    <row r="227" spans="1:1" ht="20.5" x14ac:dyDescent="0.4">
      <c r="A227" s="92"/>
    </row>
    <row r="231" spans="1:1" ht="20.5" x14ac:dyDescent="0.4">
      <c r="A231" s="92"/>
    </row>
    <row r="232" spans="1:1" ht="20.5" x14ac:dyDescent="0.4">
      <c r="A232" s="92"/>
    </row>
    <row r="233" spans="1:1" ht="20.5" x14ac:dyDescent="0.4">
      <c r="A233" s="92"/>
    </row>
    <row r="234" spans="1:1" ht="20.5" x14ac:dyDescent="0.4">
      <c r="A234" s="92"/>
    </row>
    <row r="235" spans="1:1" ht="20.5" x14ac:dyDescent="0.4">
      <c r="A235" s="92"/>
    </row>
    <row r="236" spans="1:1" ht="20.5" x14ac:dyDescent="0.4">
      <c r="A236" s="92"/>
    </row>
    <row r="237" spans="1:1" ht="20.5" x14ac:dyDescent="0.4">
      <c r="A237" s="92"/>
    </row>
    <row r="238" spans="1:1" x14ac:dyDescent="0.4">
      <c r="A238" s="89"/>
    </row>
    <row r="239" spans="1:1" ht="20.5" x14ac:dyDescent="0.4">
      <c r="A239" s="92"/>
    </row>
    <row r="240" spans="1:1" ht="20.5" x14ac:dyDescent="0.4">
      <c r="A240" s="92"/>
    </row>
    <row r="241" spans="1:1" ht="20.5" x14ac:dyDescent="0.4">
      <c r="A241" s="92"/>
    </row>
    <row r="242" spans="1:1" ht="20.5" x14ac:dyDescent="0.4">
      <c r="A242" s="92"/>
    </row>
    <row r="243" spans="1:1" ht="20.5" x14ac:dyDescent="0.4">
      <c r="A243" s="92"/>
    </row>
    <row r="244" spans="1:1" ht="20.5" x14ac:dyDescent="0.4">
      <c r="A244" s="92"/>
    </row>
    <row r="245" spans="1:1" ht="20.5" x14ac:dyDescent="0.4">
      <c r="A245" s="92"/>
    </row>
    <row r="246" spans="1:1" ht="20.5" x14ac:dyDescent="0.4">
      <c r="A246" s="92"/>
    </row>
    <row r="247" spans="1:1" ht="20.5" x14ac:dyDescent="0.4">
      <c r="A247" s="92"/>
    </row>
    <row r="248" spans="1:1" ht="20.5" x14ac:dyDescent="0.4">
      <c r="A248" s="92"/>
    </row>
    <row r="249" spans="1:1" ht="20.5" x14ac:dyDescent="0.4">
      <c r="A249" s="92"/>
    </row>
    <row r="250" spans="1:1" ht="20.5" x14ac:dyDescent="0.4">
      <c r="A250" s="92"/>
    </row>
    <row r="251" spans="1:1" x14ac:dyDescent="0.4">
      <c r="A251" s="89"/>
    </row>
    <row r="252" spans="1:1" ht="20.5" x14ac:dyDescent="0.4">
      <c r="A252" s="92"/>
    </row>
    <row r="253" spans="1:1" ht="20.5" x14ac:dyDescent="0.4">
      <c r="A253" s="92"/>
    </row>
    <row r="254" spans="1:1" ht="20.5" x14ac:dyDescent="0.4">
      <c r="A254" s="92"/>
    </row>
    <row r="255" spans="1:1" ht="20.5" x14ac:dyDescent="0.4">
      <c r="A255" s="92"/>
    </row>
    <row r="256" spans="1:1" ht="20.5" x14ac:dyDescent="0.4">
      <c r="A256" s="92"/>
    </row>
    <row r="257" spans="1:1" ht="20.5" x14ac:dyDescent="0.4">
      <c r="A257" s="92"/>
    </row>
    <row r="258" spans="1:1" ht="20.5" x14ac:dyDescent="0.4">
      <c r="A258" s="92"/>
    </row>
    <row r="259" spans="1:1" ht="20.5" x14ac:dyDescent="0.4">
      <c r="A259" s="92"/>
    </row>
    <row r="260" spans="1:1" ht="20.5" x14ac:dyDescent="0.4">
      <c r="A260" s="92"/>
    </row>
    <row r="261" spans="1:1" ht="20.5" x14ac:dyDescent="0.4">
      <c r="A261" s="92"/>
    </row>
    <row r="262" spans="1:1" ht="20.5" x14ac:dyDescent="0.4">
      <c r="A262" s="92"/>
    </row>
    <row r="263" spans="1:1" ht="20.5" x14ac:dyDescent="0.4">
      <c r="A263" s="92"/>
    </row>
    <row r="264" spans="1:1" x14ac:dyDescent="0.4">
      <c r="A264" s="89"/>
    </row>
    <row r="265" spans="1:1" ht="20.5" x14ac:dyDescent="0.4">
      <c r="A265" s="92"/>
    </row>
    <row r="266" spans="1:1" ht="20.5" x14ac:dyDescent="0.4">
      <c r="A266" s="92"/>
    </row>
    <row r="267" spans="1:1" ht="20.5" x14ac:dyDescent="0.4">
      <c r="A267" s="92"/>
    </row>
    <row r="268" spans="1:1" ht="20.5" x14ac:dyDescent="0.4">
      <c r="A268" s="92"/>
    </row>
    <row r="269" spans="1:1" ht="20.5" x14ac:dyDescent="0.4">
      <c r="A269" s="92"/>
    </row>
    <row r="270" spans="1:1" ht="20.5" x14ac:dyDescent="0.4">
      <c r="A270" s="92"/>
    </row>
    <row r="271" spans="1:1" ht="20.5" x14ac:dyDescent="0.4">
      <c r="A271" s="92"/>
    </row>
    <row r="272" spans="1:1" ht="20.5" x14ac:dyDescent="0.4">
      <c r="A272" s="92"/>
    </row>
    <row r="273" spans="1:1" ht="20.5" x14ac:dyDescent="0.4">
      <c r="A273" s="92"/>
    </row>
    <row r="274" spans="1:1" ht="20.5" x14ac:dyDescent="0.4">
      <c r="A274" s="92"/>
    </row>
    <row r="275" spans="1:1" ht="20.5" x14ac:dyDescent="0.4">
      <c r="A275" s="92"/>
    </row>
    <row r="276" spans="1:1" ht="20.5" x14ac:dyDescent="0.4">
      <c r="A276" s="92"/>
    </row>
    <row r="277" spans="1:1" x14ac:dyDescent="0.4">
      <c r="A277" s="89"/>
    </row>
    <row r="278" spans="1:1" ht="20.5" x14ac:dyDescent="0.4">
      <c r="A278" s="92"/>
    </row>
    <row r="279" spans="1:1" ht="20.5" x14ac:dyDescent="0.4">
      <c r="A279" s="92"/>
    </row>
    <row r="280" spans="1:1" ht="20.5" x14ac:dyDescent="0.4">
      <c r="A280" s="92"/>
    </row>
    <row r="281" spans="1:1" ht="20.5" x14ac:dyDescent="0.4">
      <c r="A281" s="92"/>
    </row>
    <row r="282" spans="1:1" ht="20.5" x14ac:dyDescent="0.4">
      <c r="A282" s="92"/>
    </row>
    <row r="283" spans="1:1" ht="20.5" x14ac:dyDescent="0.4">
      <c r="A283" s="92"/>
    </row>
    <row r="284" spans="1:1" ht="20.5" x14ac:dyDescent="0.4">
      <c r="A284" s="92"/>
    </row>
    <row r="285" spans="1:1" ht="20.5" x14ac:dyDescent="0.4">
      <c r="A285" s="92"/>
    </row>
    <row r="286" spans="1:1" ht="20.5" x14ac:dyDescent="0.4">
      <c r="A286" s="92"/>
    </row>
    <row r="287" spans="1:1" ht="20.5" x14ac:dyDescent="0.4">
      <c r="A287" s="92"/>
    </row>
    <row r="288" spans="1:1" ht="20.5" x14ac:dyDescent="0.4">
      <c r="A288" s="92"/>
    </row>
    <row r="289" spans="1:1" ht="20.5" x14ac:dyDescent="0.4">
      <c r="A289" s="92"/>
    </row>
    <row r="290" spans="1:1" x14ac:dyDescent="0.4">
      <c r="A290" s="89"/>
    </row>
    <row r="291" spans="1:1" ht="20.5" x14ac:dyDescent="0.4">
      <c r="A291" s="92"/>
    </row>
    <row r="292" spans="1:1" ht="20.5" x14ac:dyDescent="0.4">
      <c r="A292" s="92"/>
    </row>
    <row r="293" spans="1:1" ht="20.5" x14ac:dyDescent="0.4">
      <c r="A293" s="92"/>
    </row>
    <row r="294" spans="1:1" ht="20.5" x14ac:dyDescent="0.4">
      <c r="A294" s="92"/>
    </row>
    <row r="295" spans="1:1" ht="20.5" x14ac:dyDescent="0.4">
      <c r="A295" s="92"/>
    </row>
    <row r="296" spans="1:1" ht="20.5" x14ac:dyDescent="0.4">
      <c r="A296" s="92"/>
    </row>
    <row r="297" spans="1:1" ht="20.5" x14ac:dyDescent="0.4">
      <c r="A297" s="92"/>
    </row>
    <row r="298" spans="1:1" ht="20.5" x14ac:dyDescent="0.4">
      <c r="A298" s="92"/>
    </row>
    <row r="299" spans="1:1" ht="20.5" x14ac:dyDescent="0.4">
      <c r="A299" s="92"/>
    </row>
    <row r="300" spans="1:1" ht="20.5" x14ac:dyDescent="0.4">
      <c r="A300" s="92"/>
    </row>
    <row r="301" spans="1:1" ht="20.5" x14ac:dyDescent="0.4">
      <c r="A301" s="92"/>
    </row>
    <row r="302" spans="1:1" ht="20.5" x14ac:dyDescent="0.4">
      <c r="A302" s="9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opLeftCell="A4" zoomScale="50" zoomScaleNormal="50" workbookViewId="0">
      <selection activeCell="C54" sqref="C54"/>
    </sheetView>
  </sheetViews>
  <sheetFormatPr defaultColWidth="6.69140625" defaultRowHeight="20" x14ac:dyDescent="0.4"/>
  <cols>
    <col min="1" max="1" width="5.53515625" style="76" customWidth="1"/>
    <col min="2" max="2" width="19" style="76" customWidth="1"/>
    <col min="3" max="3" width="36.69140625" style="76" customWidth="1"/>
    <col min="4" max="4" width="7.4609375" style="77" customWidth="1"/>
    <col min="5" max="5" width="36.3828125" style="76" customWidth="1"/>
    <col min="6" max="6" width="7.4609375" style="77" customWidth="1"/>
    <col min="7" max="7" width="35.921875" style="76" customWidth="1"/>
    <col min="8" max="8" width="7.4609375" style="77" customWidth="1"/>
    <col min="9" max="9" width="43.3046875" style="76" customWidth="1"/>
    <col min="10" max="10" width="7.4609375" style="77" customWidth="1"/>
    <col min="11" max="11" width="35" style="76" customWidth="1"/>
    <col min="12" max="12" width="7.4609375" style="77" customWidth="1"/>
    <col min="13" max="13" width="33.15234375" style="76" customWidth="1"/>
    <col min="14" max="14" width="7.4609375" style="77" customWidth="1"/>
    <col min="15" max="15" width="24.23046875" style="76" customWidth="1"/>
    <col min="16" max="16" width="7.4609375" style="77" customWidth="1"/>
    <col min="17" max="17" width="13.3046875" style="76" customWidth="1"/>
    <col min="18" max="18" width="31.3046875" style="76" customWidth="1"/>
    <col min="19" max="19" width="11.84375" style="76" customWidth="1"/>
    <col min="20" max="20" width="11.3046875" style="76" customWidth="1"/>
    <col min="21" max="16384" width="6.69140625" style="76"/>
  </cols>
  <sheetData>
    <row r="1" spans="1:88" ht="49.75" customHeight="1" x14ac:dyDescent="0.4">
      <c r="R1" s="78"/>
      <c r="S1" s="78"/>
    </row>
    <row r="2" spans="1:88" ht="13.75" customHeight="1" x14ac:dyDescent="0.4">
      <c r="R2" s="78"/>
      <c r="S2" s="78"/>
    </row>
    <row r="3" spans="1:88" ht="19.399999999999999" customHeight="1" x14ac:dyDescent="0.4">
      <c r="B3" s="79"/>
      <c r="R3" s="78"/>
      <c r="S3" s="78"/>
      <c r="BB3" s="79"/>
      <c r="BC3" s="79"/>
      <c r="BD3" s="79"/>
    </row>
    <row r="4" spans="1:88" ht="43.75" customHeight="1" x14ac:dyDescent="0.4">
      <c r="B4" s="272"/>
      <c r="C4" s="272"/>
      <c r="R4" s="78"/>
      <c r="S4" s="78"/>
      <c r="BB4" s="79"/>
      <c r="BC4" s="79"/>
      <c r="BD4" s="79"/>
      <c r="BK4" s="273"/>
      <c r="BL4" s="273"/>
      <c r="BM4" s="273"/>
      <c r="BN4" s="273"/>
      <c r="CH4" s="80"/>
    </row>
    <row r="5" spans="1:88" ht="30" customHeight="1" x14ac:dyDescent="0.4">
      <c r="B5" s="272"/>
      <c r="C5" s="272"/>
      <c r="D5" s="81"/>
      <c r="F5" s="81"/>
      <c r="H5" s="81"/>
      <c r="I5" s="79"/>
      <c r="J5" s="81"/>
      <c r="K5" s="79"/>
      <c r="L5" s="81"/>
      <c r="M5" s="79"/>
      <c r="N5" s="81"/>
      <c r="O5" s="79"/>
      <c r="P5" s="81"/>
      <c r="R5" s="82"/>
      <c r="S5" s="82"/>
      <c r="BB5" s="79"/>
      <c r="BC5" s="79"/>
      <c r="BD5" s="79"/>
      <c r="BH5" s="79"/>
      <c r="BI5" s="79"/>
      <c r="BJ5" s="79"/>
      <c r="BK5" s="273"/>
      <c r="BL5" s="273"/>
      <c r="BM5" s="273"/>
      <c r="BN5" s="273"/>
      <c r="BO5" s="79"/>
      <c r="BP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48.65" customHeight="1" x14ac:dyDescent="0.4">
      <c r="F6" s="83"/>
      <c r="G6" s="259" t="s">
        <v>25</v>
      </c>
      <c r="H6" s="259"/>
      <c r="I6" s="59" t="str">
        <f>UPPER(TEXT(DATE(CalendarYear,1,1)," yyyy"))</f>
        <v xml:space="preserve"> 2022</v>
      </c>
      <c r="J6" s="83"/>
      <c r="K6" s="59" t="s">
        <v>171</v>
      </c>
      <c r="L6" s="83"/>
      <c r="N6" s="83"/>
      <c r="BO6" s="84"/>
      <c r="BP6" s="85"/>
      <c r="BR6" s="84"/>
      <c r="BS6" s="85"/>
      <c r="BT6" s="84"/>
      <c r="BU6" s="84"/>
      <c r="BV6" s="85"/>
      <c r="BW6" s="84"/>
      <c r="BX6" s="84"/>
      <c r="BY6" s="85"/>
      <c r="CA6" s="84"/>
      <c r="CB6" s="260"/>
      <c r="CC6" s="260"/>
      <c r="CD6" s="86"/>
      <c r="CE6" s="85"/>
    </row>
    <row r="7" spans="1:88" s="89" customFormat="1" ht="26.25" customHeight="1" x14ac:dyDescent="0.4">
      <c r="A7" s="76"/>
      <c r="B7" s="87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88"/>
      <c r="Q7" s="76"/>
      <c r="S7" s="76"/>
      <c r="T7" s="90"/>
      <c r="X7" s="76"/>
      <c r="Y7" s="76"/>
    </row>
    <row r="8" spans="1:88" s="51" customFormat="1" ht="18" customHeight="1" x14ac:dyDescent="0.3">
      <c r="B8" s="52"/>
      <c r="C8" s="55" t="str">
        <f>IF(DAY(DecSun1)=1,"",IF(AND(YEAR(DecSun1+1)=CalendarYear,MONTH(DecSun1+1)=12),DecSun1+1,""))</f>
        <v/>
      </c>
      <c r="D8" s="91" t="s">
        <v>29</v>
      </c>
      <c r="E8" s="55" t="str">
        <f>IF(DAY(DecSun1)=1,"",IF(AND(YEAR(DecSun1+2)=CalendarYear,MONTH(DecSun1+2)=12),DecSun1+2,""))</f>
        <v/>
      </c>
      <c r="F8" s="91" t="s">
        <v>29</v>
      </c>
      <c r="G8" s="56" t="str">
        <f>IF(DAY(DecSun1)=1,"",IF(AND(YEAR(DecSun1+3)=CalendarYear,MONTH(DecSun1+3)=12),DecSun1+3,""))</f>
        <v/>
      </c>
      <c r="H8" s="91" t="s">
        <v>29</v>
      </c>
      <c r="I8" s="56">
        <f>IF(DAY(DecSun1)=1,"",IF(AND(YEAR(DecSun1+4)=CalendarYear,MONTH(DecSun1+4)=12),DecSun1+4,""))</f>
        <v>44896</v>
      </c>
      <c r="J8" s="91" t="s">
        <v>29</v>
      </c>
      <c r="K8" s="56">
        <f>IF(DAY(DecSun1)=1,"",IF(AND(YEAR(DecSun1+5)=CalendarYear,MONTH(DecSun1+5)=12),DecSun1+5,""))</f>
        <v>44897</v>
      </c>
      <c r="L8" s="91" t="s">
        <v>29</v>
      </c>
      <c r="M8" s="56">
        <f>IF(DAY(DecSun1)=1,"",IF(AND(YEAR(DecSun1+6)=CalendarYear,MONTH(DecSun1+6)=12),DecSun1+6,""))</f>
        <v>44898</v>
      </c>
      <c r="N8" s="91" t="s">
        <v>29</v>
      </c>
      <c r="O8" s="56">
        <f>IF(DAY(DecSun1)=1,IF(AND(YEAR(DecSun1)=CalendarYear,MONTH(DecSun1)=12),DecSun1,""),IF(AND(YEAR(DecSun1+7)=CalendarYear,MONTH(DecSun1+7)=12),DecSun1+7,""))</f>
        <v>44899</v>
      </c>
      <c r="P8" s="91" t="s">
        <v>29</v>
      </c>
      <c r="Q8" s="47"/>
      <c r="T8" s="53"/>
      <c r="U8" s="54"/>
    </row>
    <row r="9" spans="1:88" s="92" customFormat="1" ht="17.5" customHeight="1" x14ac:dyDescent="0.5">
      <c r="B9" s="93" t="s">
        <v>1</v>
      </c>
      <c r="C9" s="94"/>
      <c r="D9" s="95"/>
      <c r="E9" s="94"/>
      <c r="F9" s="95"/>
      <c r="G9" s="96" t="s">
        <v>124</v>
      </c>
      <c r="H9" s="95"/>
      <c r="I9" s="96" t="s">
        <v>45</v>
      </c>
      <c r="J9" s="95"/>
      <c r="K9" s="96" t="s">
        <v>44</v>
      </c>
      <c r="L9" s="95"/>
      <c r="M9" s="96" t="s">
        <v>42</v>
      </c>
      <c r="N9" s="95"/>
      <c r="O9" s="96" t="s">
        <v>32</v>
      </c>
      <c r="P9" s="95"/>
      <c r="Q9" s="97"/>
    </row>
    <row r="10" spans="1:88" s="92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</row>
    <row r="11" spans="1:88" s="92" customFormat="1" ht="17.5" customHeight="1" x14ac:dyDescent="0.5">
      <c r="B11" s="93" t="s">
        <v>3</v>
      </c>
      <c r="C11" s="98"/>
      <c r="D11" s="99"/>
      <c r="E11" s="98"/>
      <c r="F11" s="99"/>
      <c r="G11" s="100" t="s">
        <v>179</v>
      </c>
      <c r="H11" s="99"/>
      <c r="I11" s="100" t="s">
        <v>209</v>
      </c>
      <c r="J11" s="99"/>
      <c r="K11" s="100" t="s">
        <v>210</v>
      </c>
      <c r="L11" s="99"/>
      <c r="M11" s="100" t="s">
        <v>51</v>
      </c>
      <c r="N11" s="99"/>
      <c r="O11" s="100" t="s">
        <v>32</v>
      </c>
      <c r="P11" s="99"/>
      <c r="Q11" s="97"/>
    </row>
    <row r="12" spans="1:88" s="92" customFormat="1" ht="17.5" customHeight="1" x14ac:dyDescent="0.5">
      <c r="B12" s="93"/>
      <c r="C12" s="98"/>
      <c r="D12" s="99"/>
      <c r="E12" s="98"/>
      <c r="F12" s="99"/>
      <c r="G12" s="100"/>
      <c r="H12" s="99"/>
      <c r="I12" s="100"/>
      <c r="J12" s="99"/>
      <c r="K12" s="100"/>
      <c r="L12" s="99"/>
      <c r="M12" s="100"/>
      <c r="N12" s="99"/>
      <c r="O12" s="100"/>
      <c r="P12" s="99"/>
      <c r="Q12" s="97"/>
    </row>
    <row r="13" spans="1:88" s="92" customFormat="1" ht="17.5" customHeight="1" x14ac:dyDescent="0.5">
      <c r="B13" s="93" t="s">
        <v>4</v>
      </c>
      <c r="C13" s="98"/>
      <c r="D13" s="99"/>
      <c r="E13" s="98"/>
      <c r="F13" s="99"/>
      <c r="G13" s="100" t="s">
        <v>145</v>
      </c>
      <c r="H13" s="99"/>
      <c r="I13" s="100" t="s">
        <v>180</v>
      </c>
      <c r="J13" s="99"/>
      <c r="K13" s="100" t="s">
        <v>97</v>
      </c>
      <c r="L13" s="99"/>
      <c r="M13" s="100" t="s">
        <v>152</v>
      </c>
      <c r="N13" s="99"/>
      <c r="O13" s="100" t="s">
        <v>32</v>
      </c>
      <c r="P13" s="99"/>
      <c r="Q13" s="97"/>
    </row>
    <row r="14" spans="1:88" s="92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97"/>
    </row>
    <row r="15" spans="1:88" s="92" customFormat="1" ht="17.5" customHeight="1" x14ac:dyDescent="0.5">
      <c r="B15" s="93" t="s">
        <v>30</v>
      </c>
      <c r="C15" s="98"/>
      <c r="D15" s="99"/>
      <c r="E15" s="98"/>
      <c r="F15" s="99"/>
      <c r="G15" s="100" t="s">
        <v>38</v>
      </c>
      <c r="H15" s="99"/>
      <c r="I15" s="100" t="s">
        <v>181</v>
      </c>
      <c r="J15" s="99"/>
      <c r="K15" s="100" t="s">
        <v>38</v>
      </c>
      <c r="L15" s="99"/>
      <c r="M15" s="100" t="s">
        <v>38</v>
      </c>
      <c r="N15" s="99"/>
      <c r="O15" s="100" t="s">
        <v>32</v>
      </c>
      <c r="P15" s="99"/>
      <c r="Q15" s="97"/>
    </row>
    <row r="16" spans="1:88" s="92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97"/>
    </row>
    <row r="17" spans="2:21" s="92" customFormat="1" ht="17.5" customHeight="1" x14ac:dyDescent="0.5">
      <c r="B17" s="93" t="s">
        <v>6</v>
      </c>
      <c r="C17" s="98"/>
      <c r="D17" s="99"/>
      <c r="E17" s="98"/>
      <c r="F17" s="99"/>
      <c r="G17" s="100" t="s">
        <v>84</v>
      </c>
      <c r="H17" s="99"/>
      <c r="I17" s="100" t="s">
        <v>121</v>
      </c>
      <c r="J17" s="99"/>
      <c r="K17" s="100" t="s">
        <v>183</v>
      </c>
      <c r="L17" s="99"/>
      <c r="M17" s="100" t="s">
        <v>40</v>
      </c>
      <c r="N17" s="99"/>
      <c r="O17" s="100" t="s">
        <v>32</v>
      </c>
      <c r="P17" s="99"/>
      <c r="Q17" s="97"/>
    </row>
    <row r="18" spans="2:21" s="92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97"/>
    </row>
    <row r="19" spans="2:21" s="92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97"/>
    </row>
    <row r="20" spans="2:21" s="92" customFormat="1" ht="17.5" customHeight="1" x14ac:dyDescent="0.5">
      <c r="B20" s="101"/>
      <c r="C20" s="102"/>
      <c r="D20" s="103"/>
      <c r="E20" s="102"/>
      <c r="F20" s="103"/>
      <c r="G20" s="104"/>
      <c r="H20" s="103"/>
      <c r="I20" s="104"/>
      <c r="J20" s="103"/>
      <c r="K20" s="104"/>
      <c r="L20" s="103"/>
      <c r="M20" s="104"/>
      <c r="N20" s="103"/>
      <c r="O20" s="104"/>
      <c r="P20" s="103"/>
      <c r="Q20" s="97"/>
    </row>
    <row r="21" spans="2:21" s="51" customFormat="1" ht="18" customHeight="1" x14ac:dyDescent="0.3">
      <c r="B21" s="52"/>
      <c r="C21" s="55">
        <f>IF(DAY(DecSun1)=1,IF(AND(YEAR(DecSun1+1)=CalendarYear,MONTH(DecSun1+1)=12),DecSun1+1,""),IF(AND(YEAR(DecSun1+8)=CalendarYear,MONTH(DecSun1+8)=12),DecSun1+8,""))</f>
        <v>44900</v>
      </c>
      <c r="D21" s="91" t="s">
        <v>29</v>
      </c>
      <c r="E21" s="55">
        <f>IF(DAY(DecSun1)=1,IF(AND(YEAR(DecSun1+2)=CalendarYear,MONTH(DecSun1+2)=12),DecSun1+2,""),IF(AND(YEAR(DecSun1+9)=CalendarYear,MONTH(DecSun1+9)=12),DecSun1+9,""))</f>
        <v>44901</v>
      </c>
      <c r="F21" s="91" t="s">
        <v>29</v>
      </c>
      <c r="G21" s="56">
        <f>IF(DAY(DecSun1)=1,IF(AND(YEAR(DecSun1+3)=CalendarYear,MONTH(DecSun1+3)=12),DecSun1+3,""),IF(AND(YEAR(DecSun1+10)=CalendarYear,MONTH(DecSun1+10)=12),DecSun1+10,""))</f>
        <v>44902</v>
      </c>
      <c r="H21" s="91" t="s">
        <v>29</v>
      </c>
      <c r="I21" s="56">
        <f>IF(DAY(DecSun1)=1,IF(AND(YEAR(DecSun1+4)=CalendarYear,MONTH(DecSun1+4)=12),DecSun1+4,""),IF(AND(YEAR(DecSun1+11)=CalendarYear,MONTH(DecSun1+11)=12),DecSun1+11,""))</f>
        <v>44903</v>
      </c>
      <c r="J21" s="91" t="s">
        <v>29</v>
      </c>
      <c r="K21" s="56">
        <f>IF(DAY(DecSun1)=1,IF(AND(YEAR(DecSun1+5)=CalendarYear,MONTH(DecSun1+5)=12),DecSun1+5,""),IF(AND(YEAR(DecSun1+12)=CalendarYear,MONTH(DecSun1+12)=12),DecSun1+12,""))</f>
        <v>44904</v>
      </c>
      <c r="L21" s="91" t="s">
        <v>29</v>
      </c>
      <c r="M21" s="56">
        <f>IF(DAY(DecSun1)=1,IF(AND(YEAR(DecSun1+6)=CalendarYear,MONTH(DecSun1+6)=12),DecSun1+6,""),IF(AND(YEAR(DecSun1+13)=CalendarYear,MONTH(DecSun1+13)=12),DecSun1+13,""))</f>
        <v>44905</v>
      </c>
      <c r="N21" s="91" t="s">
        <v>29</v>
      </c>
      <c r="O21" s="56">
        <f>IF(DAY(DecSun1)=1,IF(AND(YEAR(DecSun1+7)=CalendarYear,MONTH(DecSun1+7)=12),DecSun1+7,""),IF(AND(YEAR(DecSun1+14)=CalendarYear,MONTH(DecSun1+14)=12),DecSun1+14,""))</f>
        <v>44906</v>
      </c>
      <c r="P21" s="91" t="s">
        <v>29</v>
      </c>
      <c r="Q21" s="47"/>
      <c r="T21" s="53"/>
      <c r="U21" s="54"/>
    </row>
    <row r="22" spans="2:21" s="92" customFormat="1" ht="17.5" customHeight="1" x14ac:dyDescent="0.5">
      <c r="B22" s="93" t="s">
        <v>1</v>
      </c>
      <c r="C22" s="105" t="s">
        <v>31</v>
      </c>
      <c r="D22" s="106"/>
      <c r="E22" s="105" t="s">
        <v>105</v>
      </c>
      <c r="F22" s="106"/>
      <c r="G22" s="107" t="s">
        <v>43</v>
      </c>
      <c r="H22" s="106"/>
      <c r="I22" s="107" t="s">
        <v>45</v>
      </c>
      <c r="J22" s="106"/>
      <c r="K22" s="107" t="s">
        <v>42</v>
      </c>
      <c r="L22" s="106"/>
      <c r="M22" s="107" t="s">
        <v>44</v>
      </c>
      <c r="N22" s="106"/>
      <c r="O22" s="107" t="s">
        <v>32</v>
      </c>
      <c r="P22" s="106"/>
      <c r="Q22" s="97"/>
    </row>
    <row r="23" spans="2:21" s="92" customFormat="1" ht="17.5" customHeight="1" x14ac:dyDescent="0.5">
      <c r="B23" s="93"/>
      <c r="C23" s="108"/>
      <c r="D23" s="109"/>
      <c r="E23" s="108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97"/>
    </row>
    <row r="24" spans="2:21" s="92" customFormat="1" ht="17.5" customHeight="1" x14ac:dyDescent="0.5">
      <c r="B24" s="93" t="s">
        <v>3</v>
      </c>
      <c r="C24" s="108" t="s">
        <v>182</v>
      </c>
      <c r="D24" s="109"/>
      <c r="E24" s="108" t="s">
        <v>106</v>
      </c>
      <c r="F24" s="109"/>
      <c r="G24" s="110" t="s">
        <v>109</v>
      </c>
      <c r="H24" s="109"/>
      <c r="I24" s="110" t="s">
        <v>142</v>
      </c>
      <c r="J24" s="109"/>
      <c r="K24" s="110" t="s">
        <v>186</v>
      </c>
      <c r="L24" s="109"/>
      <c r="M24" s="110" t="s">
        <v>110</v>
      </c>
      <c r="N24" s="109"/>
      <c r="O24" s="110" t="s">
        <v>32</v>
      </c>
      <c r="P24" s="109"/>
      <c r="Q24" s="97"/>
    </row>
    <row r="25" spans="2:21" s="92" customFormat="1" ht="17.5" customHeight="1" x14ac:dyDescent="0.5">
      <c r="B25" s="93"/>
      <c r="C25" s="108"/>
      <c r="D25" s="109"/>
      <c r="E25" s="108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97"/>
    </row>
    <row r="26" spans="2:21" s="92" customFormat="1" ht="17.5" customHeight="1" x14ac:dyDescent="0.5">
      <c r="B26" s="93" t="s">
        <v>4</v>
      </c>
      <c r="C26" s="108" t="s">
        <v>184</v>
      </c>
      <c r="D26" s="109"/>
      <c r="E26" s="108" t="s">
        <v>53</v>
      </c>
      <c r="F26" s="109"/>
      <c r="G26" s="110" t="s">
        <v>160</v>
      </c>
      <c r="H26" s="109"/>
      <c r="I26" s="110" t="s">
        <v>97</v>
      </c>
      <c r="J26" s="109"/>
      <c r="K26" s="110" t="s">
        <v>53</v>
      </c>
      <c r="L26" s="109"/>
      <c r="M26" s="110" t="s">
        <v>166</v>
      </c>
      <c r="N26" s="109"/>
      <c r="O26" s="110" t="s">
        <v>32</v>
      </c>
      <c r="P26" s="109"/>
      <c r="Q26" s="97"/>
    </row>
    <row r="27" spans="2:21" s="92" customFormat="1" ht="17.5" customHeight="1" x14ac:dyDescent="0.5">
      <c r="B27" s="93"/>
      <c r="C27" s="108"/>
      <c r="D27" s="109"/>
      <c r="E27" s="108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97"/>
    </row>
    <row r="28" spans="2:21" s="92" customFormat="1" ht="17.5" customHeight="1" x14ac:dyDescent="0.5">
      <c r="B28" s="93" t="s">
        <v>30</v>
      </c>
      <c r="C28" s="108" t="s">
        <v>38</v>
      </c>
      <c r="D28" s="109"/>
      <c r="E28" s="108" t="s">
        <v>57</v>
      </c>
      <c r="F28" s="109"/>
      <c r="G28" s="110" t="s">
        <v>185</v>
      </c>
      <c r="H28" s="109"/>
      <c r="I28" s="110" t="s">
        <v>148</v>
      </c>
      <c r="J28" s="109"/>
      <c r="K28" s="110" t="s">
        <v>38</v>
      </c>
      <c r="L28" s="109"/>
      <c r="M28" s="110" t="s">
        <v>85</v>
      </c>
      <c r="N28" s="109"/>
      <c r="O28" s="110" t="s">
        <v>32</v>
      </c>
      <c r="P28" s="109"/>
      <c r="Q28" s="97"/>
    </row>
    <row r="29" spans="2:21" s="92" customFormat="1" ht="17.5" customHeight="1" x14ac:dyDescent="0.5">
      <c r="B29" s="93"/>
      <c r="C29" s="108"/>
      <c r="D29" s="109"/>
      <c r="E29" s="108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97"/>
    </row>
    <row r="30" spans="2:21" s="92" customFormat="1" ht="17.5" customHeight="1" x14ac:dyDescent="0.5">
      <c r="B30" s="93" t="s">
        <v>6</v>
      </c>
      <c r="C30" s="108" t="s">
        <v>140</v>
      </c>
      <c r="D30" s="109"/>
      <c r="E30" s="108" t="s">
        <v>122</v>
      </c>
      <c r="F30" s="109"/>
      <c r="G30" s="110" t="s">
        <v>121</v>
      </c>
      <c r="H30" s="109"/>
      <c r="I30" s="110" t="s">
        <v>129</v>
      </c>
      <c r="J30" s="109"/>
      <c r="K30" s="110" t="s">
        <v>63</v>
      </c>
      <c r="L30" s="109"/>
      <c r="M30" s="110" t="s">
        <v>188</v>
      </c>
      <c r="N30" s="109"/>
      <c r="O30" s="110" t="s">
        <v>32</v>
      </c>
      <c r="P30" s="109"/>
      <c r="Q30" s="97"/>
    </row>
    <row r="31" spans="2:21" s="92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97"/>
    </row>
    <row r="32" spans="2:21" s="92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97"/>
    </row>
    <row r="33" spans="2:21" s="92" customFormat="1" ht="17.5" customHeight="1" x14ac:dyDescent="0.5">
      <c r="B33" s="101"/>
      <c r="C33" s="111"/>
      <c r="D33" s="112"/>
      <c r="E33" s="111"/>
      <c r="F33" s="112"/>
      <c r="G33" s="113"/>
      <c r="H33" s="112"/>
      <c r="I33" s="113"/>
      <c r="J33" s="112"/>
      <c r="K33" s="113"/>
      <c r="L33" s="112"/>
      <c r="M33" s="113"/>
      <c r="N33" s="112"/>
      <c r="O33" s="113"/>
      <c r="P33" s="112"/>
      <c r="Q33" s="97"/>
    </row>
    <row r="34" spans="2:21" s="51" customFormat="1" ht="18" customHeight="1" x14ac:dyDescent="0.3">
      <c r="B34" s="52"/>
      <c r="C34" s="55">
        <f>IF(DAY(DecSun1)=1,IF(AND(YEAR(DecSun1+8)=CalendarYear,MONTH(DecSun1+8)=12),DecSun1+8,""),IF(AND(YEAR(DecSun1+15)=CalendarYear,MONTH(DecSun1+15)=12),DecSun1+15,""))</f>
        <v>44907</v>
      </c>
      <c r="D34" s="91" t="s">
        <v>29</v>
      </c>
      <c r="E34" s="55">
        <f>IF(DAY(DecSun1)=1,IF(AND(YEAR(DecSun1+9)=CalendarYear,MONTH(DecSun1+9)=12),DecSun1+9,""),IF(AND(YEAR(DecSun1+16)=CalendarYear,MONTH(DecSun1+16)=12),DecSun1+16,""))</f>
        <v>44908</v>
      </c>
      <c r="F34" s="91" t="s">
        <v>29</v>
      </c>
      <c r="G34" s="56">
        <f>IF(DAY(DecSun1)=1,IF(AND(YEAR(DecSun1+10)=CalendarYear,MONTH(DecSun1+10)=12),DecSun1+10,""),IF(AND(YEAR(DecSun1+17)=CalendarYear,MONTH(DecSun1+17)=12),DecSun1+17,""))</f>
        <v>44909</v>
      </c>
      <c r="H34" s="91" t="s">
        <v>29</v>
      </c>
      <c r="I34" s="56">
        <f>IF(DAY(DecSun1)=1,IF(AND(YEAR(DecSun1+11)=CalendarYear,MONTH(DecSun1+11)=12),DecSun1+11,""),IF(AND(YEAR(DecSun1+18)=CalendarYear,MONTH(DecSun1+18)=12),DecSun1+18,""))</f>
        <v>44910</v>
      </c>
      <c r="J34" s="91" t="s">
        <v>29</v>
      </c>
      <c r="K34" s="56">
        <f>IF(DAY(DecSun1)=1,IF(AND(YEAR(DecSun1+12)=CalendarYear,MONTH(DecSun1+12)=12),DecSun1+12,""),IF(AND(YEAR(DecSun1+19)=CalendarYear,MONTH(DecSun1+19)=12),DecSun1+19,""))</f>
        <v>44911</v>
      </c>
      <c r="L34" s="91" t="s">
        <v>29</v>
      </c>
      <c r="M34" s="56">
        <f>IF(DAY(DecSun1)=1,IF(AND(YEAR(DecSun1+13)=CalendarYear,MONTH(DecSun1+13)=12),DecSun1+13,""),IF(AND(YEAR(DecSun1+20)=CalendarYear,MONTH(DecSun1+20)=12),DecSun1+20,""))</f>
        <v>44912</v>
      </c>
      <c r="N34" s="91" t="s">
        <v>29</v>
      </c>
      <c r="O34" s="56">
        <f>IF(DAY(DecSun1)=1,IF(AND(YEAR(DecSun1+14)=CalendarYear,MONTH(DecSun1+14)=12),DecSun1+14,""),IF(AND(YEAR(DecSun1+21)=CalendarYear,MONTH(DecSun1+21)=12),DecSun1+21,""))</f>
        <v>44913</v>
      </c>
      <c r="P34" s="91" t="s">
        <v>29</v>
      </c>
      <c r="Q34" s="47"/>
      <c r="T34" s="53"/>
      <c r="U34" s="54"/>
    </row>
    <row r="35" spans="2:21" s="92" customFormat="1" ht="17.5" customHeight="1" x14ac:dyDescent="0.5">
      <c r="B35" s="93" t="s">
        <v>1</v>
      </c>
      <c r="C35" s="94" t="s">
        <v>190</v>
      </c>
      <c r="D35" s="95"/>
      <c r="E35" s="94" t="s">
        <v>45</v>
      </c>
      <c r="F35" s="95"/>
      <c r="G35" s="96" t="s">
        <v>191</v>
      </c>
      <c r="H35" s="95"/>
      <c r="I35" s="96" t="s">
        <v>105</v>
      </c>
      <c r="J35" s="95"/>
      <c r="K35" s="96" t="s">
        <v>42</v>
      </c>
      <c r="L35" s="95"/>
      <c r="M35" s="96" t="s">
        <v>31</v>
      </c>
      <c r="N35" s="95"/>
      <c r="O35" s="96" t="s">
        <v>32</v>
      </c>
      <c r="P35" s="95"/>
      <c r="Q35" s="97"/>
    </row>
    <row r="36" spans="2:21" s="92" customFormat="1" ht="17.5" customHeight="1" x14ac:dyDescent="0.5">
      <c r="B36" s="93"/>
      <c r="C36" s="98"/>
      <c r="D36" s="99"/>
      <c r="E36" s="98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97"/>
    </row>
    <row r="37" spans="2:21" s="92" customFormat="1" ht="17.5" customHeight="1" x14ac:dyDescent="0.5">
      <c r="B37" s="93" t="s">
        <v>3</v>
      </c>
      <c r="C37" s="98" t="s">
        <v>111</v>
      </c>
      <c r="D37" s="99"/>
      <c r="E37" s="98" t="s">
        <v>212</v>
      </c>
      <c r="F37" s="99"/>
      <c r="G37" s="100" t="s">
        <v>192</v>
      </c>
      <c r="H37" s="99"/>
      <c r="I37" s="100" t="s">
        <v>175</v>
      </c>
      <c r="J37" s="99"/>
      <c r="K37" s="100" t="s">
        <v>34</v>
      </c>
      <c r="L37" s="99"/>
      <c r="M37" s="100" t="s">
        <v>78</v>
      </c>
      <c r="N37" s="99"/>
      <c r="O37" s="100" t="s">
        <v>32</v>
      </c>
      <c r="P37" s="99"/>
      <c r="Q37" s="97"/>
    </row>
    <row r="38" spans="2:21" s="92" customFormat="1" ht="17.5" customHeight="1" x14ac:dyDescent="0.5">
      <c r="B38" s="93"/>
      <c r="C38" s="98"/>
      <c r="D38" s="99"/>
      <c r="E38" s="98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97"/>
    </row>
    <row r="39" spans="2:21" s="92" customFormat="1" ht="17.5" customHeight="1" x14ac:dyDescent="0.5">
      <c r="B39" s="93" t="s">
        <v>4</v>
      </c>
      <c r="C39" s="98" t="s">
        <v>75</v>
      </c>
      <c r="D39" s="99"/>
      <c r="E39" s="98" t="s">
        <v>193</v>
      </c>
      <c r="F39" s="99"/>
      <c r="G39" s="100" t="s">
        <v>53</v>
      </c>
      <c r="H39" s="99"/>
      <c r="I39" s="100" t="s">
        <v>35</v>
      </c>
      <c r="J39" s="99"/>
      <c r="K39" s="100" t="s">
        <v>98</v>
      </c>
      <c r="L39" s="99"/>
      <c r="M39" s="100" t="s">
        <v>187</v>
      </c>
      <c r="N39" s="99"/>
      <c r="O39" s="100" t="s">
        <v>32</v>
      </c>
      <c r="P39" s="99"/>
      <c r="Q39" s="97"/>
    </row>
    <row r="40" spans="2:21" s="92" customFormat="1" ht="17.5" customHeight="1" x14ac:dyDescent="0.5">
      <c r="B40" s="93"/>
      <c r="C40" s="98"/>
      <c r="D40" s="99"/>
      <c r="E40" s="98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97"/>
    </row>
    <row r="41" spans="2:21" s="92" customFormat="1" ht="17.5" customHeight="1" x14ac:dyDescent="0.5">
      <c r="B41" s="93" t="s">
        <v>30</v>
      </c>
      <c r="C41" s="98" t="s">
        <v>38</v>
      </c>
      <c r="D41" s="99"/>
      <c r="E41" s="98" t="s">
        <v>194</v>
      </c>
      <c r="F41" s="99"/>
      <c r="G41" s="100" t="s">
        <v>38</v>
      </c>
      <c r="H41" s="99"/>
      <c r="I41" s="100" t="s">
        <v>57</v>
      </c>
      <c r="J41" s="99"/>
      <c r="K41" s="100" t="s">
        <v>38</v>
      </c>
      <c r="L41" s="99"/>
      <c r="M41" s="100" t="s">
        <v>85</v>
      </c>
      <c r="N41" s="99"/>
      <c r="O41" s="100" t="s">
        <v>32</v>
      </c>
      <c r="P41" s="99"/>
      <c r="Q41" s="97"/>
    </row>
    <row r="42" spans="2:21" s="92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97"/>
    </row>
    <row r="43" spans="2:21" s="92" customFormat="1" ht="17.5" customHeight="1" x14ac:dyDescent="0.5">
      <c r="B43" s="93" t="s">
        <v>6</v>
      </c>
      <c r="C43" s="98" t="s">
        <v>40</v>
      </c>
      <c r="D43" s="99"/>
      <c r="E43" s="98" t="s">
        <v>66</v>
      </c>
      <c r="F43" s="99"/>
      <c r="G43" s="100" t="s">
        <v>129</v>
      </c>
      <c r="H43" s="99"/>
      <c r="I43" s="100" t="s">
        <v>121</v>
      </c>
      <c r="J43" s="99"/>
      <c r="K43" s="100" t="s">
        <v>140</v>
      </c>
      <c r="L43" s="99"/>
      <c r="M43" s="100" t="s">
        <v>40</v>
      </c>
      <c r="N43" s="99"/>
      <c r="O43" s="100" t="s">
        <v>32</v>
      </c>
      <c r="P43" s="99"/>
      <c r="Q43" s="97"/>
    </row>
    <row r="44" spans="2:21" s="92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97"/>
    </row>
    <row r="45" spans="2:21" s="92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97"/>
    </row>
    <row r="46" spans="2:21" s="92" customFormat="1" ht="17.5" customHeight="1" x14ac:dyDescent="0.5">
      <c r="B46" s="101"/>
      <c r="C46" s="102"/>
      <c r="D46" s="103"/>
      <c r="E46" s="102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97"/>
    </row>
    <row r="47" spans="2:21" s="51" customFormat="1" ht="18" customHeight="1" x14ac:dyDescent="0.3">
      <c r="B47" s="52"/>
      <c r="C47" s="55">
        <f>IF(DAY(DecSun1)=1,IF(AND(YEAR(DecSun1+15)=CalendarYear,MONTH(DecSun1+15)=12),DecSun1+15,""),IF(AND(YEAR(DecSun1+22)=CalendarYear,MONTH(DecSun1+22)=12),DecSun1+22,""))</f>
        <v>44914</v>
      </c>
      <c r="D47" s="91" t="s">
        <v>29</v>
      </c>
      <c r="E47" s="55">
        <f>IF(DAY(DecSun1)=1,IF(AND(YEAR(DecSun1+16)=CalendarYear,MONTH(DecSun1+16)=12),DecSun1+16,""),IF(AND(YEAR(DecSun1+23)=CalendarYear,MONTH(DecSun1+23)=12),DecSun1+23,""))</f>
        <v>44915</v>
      </c>
      <c r="F47" s="91" t="s">
        <v>29</v>
      </c>
      <c r="G47" s="56">
        <f>IF(DAY(DecSun1)=1,IF(AND(YEAR(DecSun1+17)=CalendarYear,MONTH(DecSun1+17)=12),DecSun1+17,""),IF(AND(YEAR(DecSun1+24)=CalendarYear,MONTH(DecSun1+24)=12),DecSun1+24,""))</f>
        <v>44916</v>
      </c>
      <c r="H47" s="91" t="s">
        <v>29</v>
      </c>
      <c r="I47" s="56">
        <f>IF(DAY(DecSun1)=1,IF(AND(YEAR(DecSun1+18)=CalendarYear,MONTH(DecSun1+18)=12),DecSun1+18,""),IF(AND(YEAR(DecSun1+25)=CalendarYear,MONTH(DecSun1+25)=12),DecSun1+25,""))</f>
        <v>44917</v>
      </c>
      <c r="J47" s="91" t="s">
        <v>29</v>
      </c>
      <c r="K47" s="56">
        <f>IF(DAY(DecSun1)=1,IF(AND(YEAR(DecSun1+19)=CalendarYear,MONTH(DecSun1+19)=12),DecSun1+19,""),IF(AND(YEAR(DecSun1+26)=CalendarYear,MONTH(DecSun1+26)=12),DecSun1+26,""))</f>
        <v>44918</v>
      </c>
      <c r="L47" s="91" t="s">
        <v>29</v>
      </c>
      <c r="M47" s="56">
        <f>IF(DAY(DecSun1)=1,IF(AND(YEAR(DecSun1+20)=CalendarYear,MONTH(DecSun1+20)=12),DecSun1+20,""),IF(AND(YEAR(DecSun1+27)=CalendarYear,MONTH(DecSun1+27)=12),DecSun1+27,""))</f>
        <v>44919</v>
      </c>
      <c r="N47" s="91" t="s">
        <v>29</v>
      </c>
      <c r="O47" s="56">
        <f>IF(DAY(DecSun1)=1,IF(AND(YEAR(DecSun1+21)=CalendarYear,MONTH(DecSun1+21)=12),DecSun1+21,""),IF(AND(YEAR(DecSun1+28)=CalendarYear,MONTH(DecSun1+28)=12),DecSun1+28,""))</f>
        <v>44920</v>
      </c>
      <c r="P47" s="91" t="s">
        <v>29</v>
      </c>
      <c r="Q47" s="47"/>
      <c r="T47" s="53"/>
      <c r="U47" s="54"/>
    </row>
    <row r="48" spans="2:21" s="92" customFormat="1" ht="17.5" customHeight="1" x14ac:dyDescent="0.5">
      <c r="B48" s="93" t="s">
        <v>1</v>
      </c>
      <c r="C48" s="105" t="s">
        <v>195</v>
      </c>
      <c r="D48" s="106"/>
      <c r="E48" s="105" t="s">
        <v>42</v>
      </c>
      <c r="F48" s="106"/>
      <c r="G48" s="107" t="s">
        <v>105</v>
      </c>
      <c r="H48" s="106"/>
      <c r="I48" s="107" t="s">
        <v>161</v>
      </c>
      <c r="J48" s="106"/>
      <c r="K48" s="107" t="s">
        <v>89</v>
      </c>
      <c r="L48" s="106"/>
      <c r="M48" s="107" t="s">
        <v>43</v>
      </c>
      <c r="N48" s="106"/>
      <c r="O48" s="107" t="s">
        <v>32</v>
      </c>
      <c r="P48" s="106"/>
      <c r="Q48" s="97"/>
    </row>
    <row r="49" spans="2:21" s="92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97"/>
    </row>
    <row r="50" spans="2:21" s="92" customFormat="1" ht="17.5" customHeight="1" x14ac:dyDescent="0.5">
      <c r="B50" s="93" t="s">
        <v>3</v>
      </c>
      <c r="C50" s="108" t="s">
        <v>196</v>
      </c>
      <c r="D50" s="109"/>
      <c r="E50" s="108" t="s">
        <v>167</v>
      </c>
      <c r="F50" s="109"/>
      <c r="G50" s="110" t="s">
        <v>208</v>
      </c>
      <c r="H50" s="109"/>
      <c r="I50" s="110" t="s">
        <v>211</v>
      </c>
      <c r="J50" s="109"/>
      <c r="K50" s="110" t="s">
        <v>162</v>
      </c>
      <c r="L50" s="109"/>
      <c r="M50" s="110" t="s">
        <v>34</v>
      </c>
      <c r="N50" s="109"/>
      <c r="O50" s="110" t="s">
        <v>32</v>
      </c>
      <c r="P50" s="109"/>
      <c r="Q50" s="97"/>
    </row>
    <row r="51" spans="2:21" s="92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/>
      <c r="J51" s="109"/>
      <c r="K51" s="110"/>
      <c r="L51" s="109"/>
      <c r="M51" s="110"/>
      <c r="N51" s="109"/>
      <c r="O51" s="110"/>
      <c r="P51" s="109"/>
      <c r="Q51" s="97"/>
    </row>
    <row r="52" spans="2:21" s="92" customFormat="1" ht="17.5" customHeight="1" x14ac:dyDescent="0.5">
      <c r="B52" s="93" t="s">
        <v>4</v>
      </c>
      <c r="C52" s="108" t="s">
        <v>197</v>
      </c>
      <c r="D52" s="109"/>
      <c r="E52" s="108" t="s">
        <v>98</v>
      </c>
      <c r="F52" s="109"/>
      <c r="G52" s="110" t="s">
        <v>53</v>
      </c>
      <c r="H52" s="109"/>
      <c r="I52" s="110" t="s">
        <v>160</v>
      </c>
      <c r="J52" s="109"/>
      <c r="K52" s="110" t="s">
        <v>53</v>
      </c>
      <c r="L52" s="109"/>
      <c r="M52" s="110" t="s">
        <v>77</v>
      </c>
      <c r="N52" s="109"/>
      <c r="O52" s="110" t="s">
        <v>32</v>
      </c>
      <c r="P52" s="109"/>
      <c r="Q52" s="97"/>
    </row>
    <row r="53" spans="2:21" s="92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97"/>
    </row>
    <row r="54" spans="2:21" s="92" customFormat="1" ht="17.5" customHeight="1" x14ac:dyDescent="0.5">
      <c r="B54" s="93" t="s">
        <v>30</v>
      </c>
      <c r="C54" s="108" t="s">
        <v>40</v>
      </c>
      <c r="D54" s="109"/>
      <c r="E54" s="108" t="s">
        <v>38</v>
      </c>
      <c r="F54" s="109"/>
      <c r="G54" s="110" t="s">
        <v>57</v>
      </c>
      <c r="H54" s="109"/>
      <c r="I54" s="110" t="s">
        <v>189</v>
      </c>
      <c r="J54" s="109"/>
      <c r="K54" s="110" t="s">
        <v>38</v>
      </c>
      <c r="L54" s="109"/>
      <c r="M54" s="110" t="s">
        <v>38</v>
      </c>
      <c r="N54" s="109"/>
      <c r="O54" s="110" t="s">
        <v>32</v>
      </c>
      <c r="P54" s="109"/>
      <c r="Q54" s="97"/>
    </row>
    <row r="55" spans="2:21" s="92" customFormat="1" ht="17.5" customHeight="1" x14ac:dyDescent="0.5">
      <c r="B55" s="93"/>
      <c r="C55" s="108"/>
      <c r="D55" s="109"/>
      <c r="E55" s="108"/>
      <c r="F55" s="109"/>
      <c r="G55" s="110"/>
      <c r="H55" s="109"/>
      <c r="I55" s="110"/>
      <c r="J55" s="109"/>
      <c r="K55" s="110"/>
      <c r="L55" s="109"/>
      <c r="M55" s="110"/>
      <c r="N55" s="109"/>
      <c r="O55" s="110"/>
      <c r="P55" s="109"/>
      <c r="Q55" s="97"/>
    </row>
    <row r="56" spans="2:21" s="92" customFormat="1" ht="17.5" customHeight="1" x14ac:dyDescent="0.5">
      <c r="B56" s="93" t="s">
        <v>6</v>
      </c>
      <c r="C56" s="108" t="s">
        <v>62</v>
      </c>
      <c r="D56" s="109"/>
      <c r="E56" s="108" t="s">
        <v>40</v>
      </c>
      <c r="F56" s="109"/>
      <c r="G56" s="110" t="s">
        <v>84</v>
      </c>
      <c r="H56" s="109"/>
      <c r="I56" s="110" t="s">
        <v>129</v>
      </c>
      <c r="J56" s="109"/>
      <c r="K56" s="110" t="s">
        <v>66</v>
      </c>
      <c r="L56" s="109"/>
      <c r="M56" s="110" t="s">
        <v>40</v>
      </c>
      <c r="N56" s="109"/>
      <c r="O56" s="110" t="s">
        <v>32</v>
      </c>
      <c r="P56" s="109"/>
      <c r="Q56" s="97"/>
    </row>
    <row r="57" spans="2:21" s="92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97"/>
    </row>
    <row r="58" spans="2:21" s="92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97"/>
    </row>
    <row r="59" spans="2:21" s="92" customFormat="1" ht="17.5" customHeight="1" x14ac:dyDescent="0.5">
      <c r="B59" s="101"/>
      <c r="C59" s="111"/>
      <c r="D59" s="112"/>
      <c r="E59" s="111"/>
      <c r="F59" s="112"/>
      <c r="G59" s="113"/>
      <c r="H59" s="112"/>
      <c r="I59" s="113"/>
      <c r="J59" s="112"/>
      <c r="K59" s="113"/>
      <c r="L59" s="112"/>
      <c r="M59" s="113"/>
      <c r="N59" s="112"/>
      <c r="O59" s="113"/>
      <c r="P59" s="112"/>
      <c r="Q59" s="97"/>
    </row>
    <row r="60" spans="2:21" s="51" customFormat="1" ht="18" customHeight="1" x14ac:dyDescent="0.3">
      <c r="B60" s="52"/>
      <c r="C60" s="55">
        <f>IF(DAY(DecSun1)=1,IF(AND(YEAR(DecSun1+22)=CalendarYear,MONTH(DecSun1+22)=12),DecSun1+22,""),IF(AND(YEAR(DecSun1+29)=CalendarYear,MONTH(DecSun1+29)=12),DecSun1+29,""))</f>
        <v>44921</v>
      </c>
      <c r="D60" s="91" t="s">
        <v>29</v>
      </c>
      <c r="E60" s="55">
        <f>IF(DAY(DecSun1)=1,IF(AND(YEAR(DecSun1+23)=CalendarYear,MONTH(DecSun1+23)=12),DecSun1+23,""),IF(AND(YEAR(DecSun1+30)=CalendarYear,MONTH(DecSun1+30)=12),DecSun1+30,""))</f>
        <v>44922</v>
      </c>
      <c r="F60" s="91" t="s">
        <v>29</v>
      </c>
      <c r="G60" s="56">
        <f>IF(DAY(DecSun1)=1,IF(AND(YEAR(DecSun1+24)=CalendarYear,MONTH(DecSun1+24)=12),DecSun1+24,""),IF(AND(YEAR(DecSun1+31)=CalendarYear,MONTH(DecSun1+31)=12),DecSun1+31,""))</f>
        <v>44923</v>
      </c>
      <c r="H60" s="91" t="s">
        <v>29</v>
      </c>
      <c r="I60" s="56">
        <f>IF(DAY(DecSun1)=1,IF(AND(YEAR(DecSun1+25)=CalendarYear,MONTH(DecSun1+25)=12),DecSun1+25,""),IF(AND(YEAR(DecSun1+32)=CalendarYear,MONTH(DecSun1+32)=12),DecSun1+32,""))</f>
        <v>44924</v>
      </c>
      <c r="J60" s="91" t="s">
        <v>29</v>
      </c>
      <c r="K60" s="56">
        <f>IF(DAY(DecSun1)=1,IF(AND(YEAR(DecSun1+26)=CalendarYear,MONTH(DecSun1+26)=12),DecSun1+26,""),IF(AND(YEAR(DecSun1+33)=CalendarYear,MONTH(DecSun1+33)=12),DecSun1+33,""))</f>
        <v>44925</v>
      </c>
      <c r="L60" s="91" t="s">
        <v>29</v>
      </c>
      <c r="M60" s="56">
        <f>IF(DAY(DecSun1)=1,IF(AND(YEAR(DecSun1+27)=CalendarYear,MONTH(DecSun1+27)=12),DecSun1+27,""),IF(AND(YEAR(DecSun1+34)=CalendarYear,MONTH(DecSun1+34)=12),DecSun1+34,""))</f>
        <v>44926</v>
      </c>
      <c r="N60" s="91" t="s">
        <v>29</v>
      </c>
      <c r="O60" s="56" t="str">
        <f>IF(DAY(DecSun1)=1,IF(AND(YEAR(DecSun1+28)=CalendarYear,MONTH(DecSun1+28)=12),DecSun1+28,""),IF(AND(YEAR(DecSun1+35)=CalendarYear,MONTH(DecSun1+35)=12),DecSun1+35,""))</f>
        <v/>
      </c>
      <c r="P60" s="91" t="s">
        <v>29</v>
      </c>
      <c r="Q60" s="47"/>
      <c r="T60" s="53"/>
      <c r="U60" s="54"/>
    </row>
    <row r="61" spans="2:21" s="92" customFormat="1" ht="17.5" customHeight="1" x14ac:dyDescent="0.5">
      <c r="B61" s="93" t="s">
        <v>1</v>
      </c>
      <c r="C61" s="94" t="s">
        <v>31</v>
      </c>
      <c r="D61" s="95"/>
      <c r="E61" s="96" t="s">
        <v>42</v>
      </c>
      <c r="F61" s="95"/>
      <c r="G61" s="96" t="s">
        <v>195</v>
      </c>
      <c r="H61" s="95"/>
      <c r="I61" s="96" t="s">
        <v>45</v>
      </c>
      <c r="J61" s="95"/>
      <c r="K61" s="96" t="s">
        <v>44</v>
      </c>
      <c r="L61" s="95"/>
      <c r="M61" s="96"/>
      <c r="N61" s="95"/>
      <c r="O61" s="96"/>
      <c r="P61" s="95"/>
      <c r="Q61" s="97"/>
    </row>
    <row r="62" spans="2:21" s="92" customFormat="1" ht="17.5" customHeight="1" x14ac:dyDescent="0.5">
      <c r="B62" s="93"/>
      <c r="C62" s="98"/>
      <c r="D62" s="99"/>
      <c r="E62" s="100"/>
      <c r="F62" s="99"/>
      <c r="G62" s="100"/>
      <c r="H62" s="99"/>
      <c r="I62" s="100"/>
      <c r="J62" s="99"/>
      <c r="K62" s="100"/>
      <c r="L62" s="99"/>
      <c r="M62" s="100"/>
      <c r="N62" s="99"/>
      <c r="O62" s="100"/>
      <c r="P62" s="99"/>
      <c r="Q62" s="97"/>
    </row>
    <row r="63" spans="2:21" s="92" customFormat="1" ht="17.5" customHeight="1" x14ac:dyDescent="0.5">
      <c r="B63" s="93" t="s">
        <v>3</v>
      </c>
      <c r="C63" s="98" t="s">
        <v>146</v>
      </c>
      <c r="D63" s="99"/>
      <c r="E63" s="100" t="s">
        <v>200</v>
      </c>
      <c r="F63" s="99"/>
      <c r="G63" s="100" t="s">
        <v>199</v>
      </c>
      <c r="H63" s="99"/>
      <c r="I63" s="100" t="s">
        <v>210</v>
      </c>
      <c r="J63" s="99"/>
      <c r="K63" s="100" t="s">
        <v>206</v>
      </c>
      <c r="L63" s="99"/>
      <c r="M63" s="100"/>
      <c r="N63" s="99"/>
      <c r="O63" s="100"/>
      <c r="P63" s="99"/>
      <c r="Q63" s="97"/>
    </row>
    <row r="64" spans="2:21" s="92" customFormat="1" ht="17.5" customHeight="1" x14ac:dyDescent="0.5">
      <c r="B64" s="93"/>
      <c r="C64" s="98"/>
      <c r="D64" s="99"/>
      <c r="E64" s="100"/>
      <c r="F64" s="99"/>
      <c r="G64" s="100"/>
      <c r="H64" s="99"/>
      <c r="I64" s="100"/>
      <c r="J64" s="99"/>
      <c r="K64" s="100"/>
      <c r="L64" s="99"/>
      <c r="M64" s="100"/>
      <c r="N64" s="99"/>
      <c r="O64" s="100"/>
      <c r="P64" s="99"/>
      <c r="Q64" s="97"/>
    </row>
    <row r="65" spans="1:21" s="92" customFormat="1" ht="17.5" customHeight="1" x14ac:dyDescent="0.5">
      <c r="B65" s="93" t="s">
        <v>4</v>
      </c>
      <c r="C65" s="98" t="s">
        <v>198</v>
      </c>
      <c r="D65" s="99"/>
      <c r="E65" s="100" t="s">
        <v>201</v>
      </c>
      <c r="F65" s="99"/>
      <c r="G65" s="100" t="s">
        <v>96</v>
      </c>
      <c r="H65" s="99"/>
      <c r="I65" s="100" t="s">
        <v>97</v>
      </c>
      <c r="J65" s="99"/>
      <c r="K65" s="100" t="s">
        <v>207</v>
      </c>
      <c r="L65" s="99"/>
      <c r="M65" s="100"/>
      <c r="N65" s="99"/>
      <c r="O65" s="100"/>
      <c r="P65" s="99"/>
      <c r="Q65" s="97"/>
    </row>
    <row r="66" spans="1:21" s="92" customFormat="1" ht="17.5" customHeight="1" x14ac:dyDescent="0.5">
      <c r="B66" s="93"/>
      <c r="C66" s="98"/>
      <c r="D66" s="99"/>
      <c r="E66" s="100"/>
      <c r="F66" s="99"/>
      <c r="G66" s="100"/>
      <c r="H66" s="99"/>
      <c r="I66" s="100"/>
      <c r="J66" s="99"/>
      <c r="K66" s="100"/>
      <c r="L66" s="99"/>
      <c r="M66" s="100"/>
      <c r="N66" s="99"/>
      <c r="O66" s="100"/>
      <c r="P66" s="99"/>
      <c r="Q66" s="97"/>
    </row>
    <row r="67" spans="1:21" s="92" customFormat="1" ht="17.5" customHeight="1" x14ac:dyDescent="0.5">
      <c r="B67" s="93" t="s">
        <v>30</v>
      </c>
      <c r="C67" s="98" t="s">
        <v>38</v>
      </c>
      <c r="D67" s="99"/>
      <c r="E67" s="100" t="s">
        <v>38</v>
      </c>
      <c r="F67" s="99"/>
      <c r="G67" s="100" t="s">
        <v>99</v>
      </c>
      <c r="H67" s="99"/>
      <c r="I67" s="100" t="s">
        <v>39</v>
      </c>
      <c r="J67" s="99"/>
      <c r="K67" s="100" t="s">
        <v>203</v>
      </c>
      <c r="L67" s="99"/>
      <c r="M67" s="100"/>
      <c r="N67" s="99"/>
      <c r="O67" s="100"/>
      <c r="P67" s="99"/>
      <c r="Q67" s="97"/>
    </row>
    <row r="68" spans="1:21" s="92" customFormat="1" ht="17.5" customHeight="1" x14ac:dyDescent="0.5">
      <c r="B68" s="93"/>
      <c r="C68" s="98"/>
      <c r="D68" s="99"/>
      <c r="E68" s="100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97"/>
    </row>
    <row r="69" spans="1:21" s="92" customFormat="1" ht="17.5" customHeight="1" x14ac:dyDescent="0.5">
      <c r="B69" s="93" t="s">
        <v>6</v>
      </c>
      <c r="C69" s="98" t="s">
        <v>66</v>
      </c>
      <c r="D69" s="99"/>
      <c r="E69" s="100" t="s">
        <v>202</v>
      </c>
      <c r="F69" s="99"/>
      <c r="G69" s="100" t="s">
        <v>122</v>
      </c>
      <c r="H69" s="99"/>
      <c r="I69" s="100" t="s">
        <v>40</v>
      </c>
      <c r="J69" s="99"/>
      <c r="K69" s="100" t="s">
        <v>204</v>
      </c>
      <c r="L69" s="99"/>
      <c r="M69" s="100"/>
      <c r="N69" s="99"/>
      <c r="O69" s="100"/>
      <c r="P69" s="99"/>
      <c r="Q69" s="97"/>
    </row>
    <row r="70" spans="1:21" s="92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97"/>
    </row>
    <row r="71" spans="1:21" s="92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97"/>
    </row>
    <row r="72" spans="1:21" s="92" customFormat="1" ht="17.5" customHeight="1" x14ac:dyDescent="0.5">
      <c r="B72" s="101"/>
      <c r="C72" s="102"/>
      <c r="D72" s="103"/>
      <c r="E72" s="102"/>
      <c r="F72" s="103"/>
      <c r="G72" s="104"/>
      <c r="H72" s="103"/>
      <c r="I72" s="104"/>
      <c r="J72" s="103"/>
      <c r="K72" s="104"/>
      <c r="L72" s="103"/>
      <c r="M72" s="104"/>
      <c r="N72" s="103"/>
      <c r="O72" s="104"/>
      <c r="P72" s="103"/>
      <c r="Q72" s="97"/>
    </row>
    <row r="73" spans="1:21" s="89" customFormat="1" ht="18" customHeight="1" x14ac:dyDescent="0.4">
      <c r="A73" s="51"/>
      <c r="B73" s="52"/>
      <c r="C73" s="55" t="str">
        <f>IF(DAY(DecSun1)=1,IF(AND(YEAR(DecSun1+29)=CalendarYear,MONTH(DecSun1+29)=12),DecSun1+29,""),IF(AND(YEAR(DecSun1+36)=CalendarYear,MONTH(DecSun1+36)=12),DecSun1+36,""))</f>
        <v/>
      </c>
      <c r="D73" s="91" t="s">
        <v>29</v>
      </c>
      <c r="E73" s="55" t="str">
        <f>IF(DAY(DecSun1)=1,IF(AND(YEAR(DecSun1+30)=CalendarYear,MONTH(DecSun1+30)=12),DecSun1+30,""),IF(AND(YEAR(DecSun1+37)=CalendarYear,MONTH(DecSun1+37)=12),DecSun1+37,""))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97"/>
      <c r="T73" s="92"/>
      <c r="U73" s="76"/>
    </row>
    <row r="74" spans="1:21" s="92" customFormat="1" ht="17.5" customHeight="1" x14ac:dyDescent="0.5">
      <c r="B74" s="93" t="s">
        <v>1</v>
      </c>
      <c r="C74" s="105"/>
      <c r="D74" s="106"/>
      <c r="E74" s="105"/>
      <c r="F74" s="106"/>
      <c r="G74" s="316" t="s">
        <v>205</v>
      </c>
      <c r="H74" s="250"/>
      <c r="I74" s="250"/>
      <c r="J74" s="250"/>
      <c r="K74" s="250"/>
      <c r="L74" s="250"/>
      <c r="M74" s="250"/>
      <c r="N74" s="250"/>
      <c r="O74" s="250"/>
      <c r="P74" s="251"/>
      <c r="Q74" s="97"/>
    </row>
    <row r="75" spans="1:21" s="92" customFormat="1" ht="17.5" customHeight="1" x14ac:dyDescent="0.5">
      <c r="B75" s="93"/>
      <c r="C75" s="108"/>
      <c r="D75" s="109"/>
      <c r="E75" s="108"/>
      <c r="F75" s="109"/>
      <c r="G75" s="252"/>
      <c r="H75" s="253"/>
      <c r="I75" s="253"/>
      <c r="J75" s="253"/>
      <c r="K75" s="253"/>
      <c r="L75" s="253"/>
      <c r="M75" s="253"/>
      <c r="N75" s="253"/>
      <c r="O75" s="253"/>
      <c r="P75" s="254"/>
      <c r="Q75" s="97"/>
    </row>
    <row r="76" spans="1:21" s="92" customFormat="1" ht="17.5" customHeight="1" x14ac:dyDescent="0.5">
      <c r="B76" s="93" t="s">
        <v>3</v>
      </c>
      <c r="C76" s="108"/>
      <c r="D76" s="109"/>
      <c r="E76" s="108"/>
      <c r="F76" s="109"/>
      <c r="G76" s="252"/>
      <c r="H76" s="253"/>
      <c r="I76" s="253"/>
      <c r="J76" s="253"/>
      <c r="K76" s="253"/>
      <c r="L76" s="253"/>
      <c r="M76" s="253"/>
      <c r="N76" s="253"/>
      <c r="O76" s="253"/>
      <c r="P76" s="254"/>
      <c r="Q76" s="97"/>
    </row>
    <row r="77" spans="1:21" s="92" customFormat="1" ht="17.5" customHeight="1" x14ac:dyDescent="0.5">
      <c r="B77" s="93"/>
      <c r="C77" s="108"/>
      <c r="D77" s="109"/>
      <c r="E77" s="108"/>
      <c r="F77" s="109"/>
      <c r="G77" s="252"/>
      <c r="H77" s="253"/>
      <c r="I77" s="253"/>
      <c r="J77" s="253"/>
      <c r="K77" s="253"/>
      <c r="L77" s="253"/>
      <c r="M77" s="253"/>
      <c r="N77" s="253"/>
      <c r="O77" s="253"/>
      <c r="P77" s="254"/>
      <c r="Q77" s="97"/>
    </row>
    <row r="78" spans="1:21" s="92" customFormat="1" ht="17.5" customHeight="1" x14ac:dyDescent="0.5">
      <c r="B78" s="93" t="s">
        <v>4</v>
      </c>
      <c r="C78" s="108"/>
      <c r="D78" s="109"/>
      <c r="E78" s="108"/>
      <c r="F78" s="109"/>
      <c r="G78" s="252"/>
      <c r="H78" s="253"/>
      <c r="I78" s="253"/>
      <c r="J78" s="253"/>
      <c r="K78" s="253"/>
      <c r="L78" s="253"/>
      <c r="M78" s="253"/>
      <c r="N78" s="253"/>
      <c r="O78" s="253"/>
      <c r="P78" s="254"/>
      <c r="Q78" s="97"/>
    </row>
    <row r="79" spans="1:21" s="92" customFormat="1" ht="17.5" customHeight="1" x14ac:dyDescent="0.5">
      <c r="B79" s="93"/>
      <c r="C79" s="108"/>
      <c r="D79" s="109"/>
      <c r="E79" s="108"/>
      <c r="F79" s="109"/>
      <c r="G79" s="252"/>
      <c r="H79" s="253"/>
      <c r="I79" s="253"/>
      <c r="J79" s="253"/>
      <c r="K79" s="253"/>
      <c r="L79" s="253"/>
      <c r="M79" s="253"/>
      <c r="N79" s="253"/>
      <c r="O79" s="253"/>
      <c r="P79" s="254"/>
      <c r="Q79" s="97"/>
    </row>
    <row r="80" spans="1:21" s="92" customFormat="1" ht="17.5" customHeight="1" x14ac:dyDescent="0.5">
      <c r="B80" s="93" t="s">
        <v>30</v>
      </c>
      <c r="C80" s="108"/>
      <c r="D80" s="109"/>
      <c r="E80" s="108"/>
      <c r="F80" s="109"/>
      <c r="G80" s="252"/>
      <c r="H80" s="253"/>
      <c r="I80" s="253"/>
      <c r="J80" s="253"/>
      <c r="K80" s="253"/>
      <c r="L80" s="253"/>
      <c r="M80" s="253"/>
      <c r="N80" s="253"/>
      <c r="O80" s="253"/>
      <c r="P80" s="254"/>
      <c r="Q80" s="97"/>
    </row>
    <row r="81" spans="1:17" s="92" customFormat="1" ht="17.5" customHeight="1" x14ac:dyDescent="0.5">
      <c r="B81" s="93"/>
      <c r="C81" s="108"/>
      <c r="D81" s="109"/>
      <c r="E81" s="108"/>
      <c r="F81" s="109"/>
      <c r="G81" s="252"/>
      <c r="H81" s="253"/>
      <c r="I81" s="253"/>
      <c r="J81" s="253"/>
      <c r="K81" s="253"/>
      <c r="L81" s="253"/>
      <c r="M81" s="253"/>
      <c r="N81" s="253"/>
      <c r="O81" s="253"/>
      <c r="P81" s="254"/>
      <c r="Q81" s="97"/>
    </row>
    <row r="82" spans="1:17" s="92" customFormat="1" ht="17.5" customHeight="1" x14ac:dyDescent="0.5">
      <c r="B82" s="93" t="s">
        <v>6</v>
      </c>
      <c r="C82" s="108"/>
      <c r="D82" s="109"/>
      <c r="E82" s="108"/>
      <c r="F82" s="109"/>
      <c r="G82" s="252"/>
      <c r="H82" s="253"/>
      <c r="I82" s="253"/>
      <c r="J82" s="253"/>
      <c r="K82" s="253"/>
      <c r="L82" s="253"/>
      <c r="M82" s="253"/>
      <c r="N82" s="253"/>
      <c r="O82" s="253"/>
      <c r="P82" s="254"/>
      <c r="Q82" s="97"/>
    </row>
    <row r="83" spans="1:17" s="92" customFormat="1" ht="17.5" customHeight="1" x14ac:dyDescent="0.5">
      <c r="B83" s="93"/>
      <c r="C83" s="108"/>
      <c r="D83" s="109"/>
      <c r="E83" s="108"/>
      <c r="F83" s="109"/>
      <c r="G83" s="252"/>
      <c r="H83" s="253"/>
      <c r="I83" s="253"/>
      <c r="J83" s="253"/>
      <c r="K83" s="253"/>
      <c r="L83" s="253"/>
      <c r="M83" s="253"/>
      <c r="N83" s="253"/>
      <c r="O83" s="253"/>
      <c r="P83" s="254"/>
      <c r="Q83" s="97"/>
    </row>
    <row r="84" spans="1:17" s="92" customFormat="1" ht="17.5" customHeight="1" x14ac:dyDescent="0.5">
      <c r="B84" s="93"/>
      <c r="C84" s="108"/>
      <c r="D84" s="109"/>
      <c r="E84" s="108"/>
      <c r="F84" s="109"/>
      <c r="G84" s="252"/>
      <c r="H84" s="253"/>
      <c r="I84" s="253"/>
      <c r="J84" s="253"/>
      <c r="K84" s="253"/>
      <c r="L84" s="253"/>
      <c r="M84" s="253"/>
      <c r="N84" s="253"/>
      <c r="O84" s="253"/>
      <c r="P84" s="254"/>
      <c r="Q84" s="97"/>
    </row>
    <row r="85" spans="1:17" s="92" customFormat="1" ht="17.5" customHeight="1" x14ac:dyDescent="0.5">
      <c r="B85" s="101"/>
      <c r="C85" s="111"/>
      <c r="D85" s="112"/>
      <c r="E85" s="111"/>
      <c r="F85" s="112"/>
      <c r="G85" s="255"/>
      <c r="H85" s="256"/>
      <c r="I85" s="256"/>
      <c r="J85" s="256"/>
      <c r="K85" s="256"/>
      <c r="L85" s="256"/>
      <c r="M85" s="256"/>
      <c r="N85" s="256"/>
      <c r="O85" s="256"/>
      <c r="P85" s="257"/>
      <c r="Q85" s="97"/>
    </row>
    <row r="86" spans="1:17" ht="22.75" customHeight="1" x14ac:dyDescent="0.4">
      <c r="B86" s="315" t="s">
        <v>27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</row>
    <row r="87" spans="1:17" ht="22.75" customHeight="1" x14ac:dyDescent="0.4">
      <c r="A87" s="92"/>
      <c r="B87" s="270" t="s">
        <v>28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</row>
    <row r="88" spans="1:17" ht="20.5" x14ac:dyDescent="0.4">
      <c r="A88" s="92"/>
    </row>
    <row r="89" spans="1:17" ht="20.5" x14ac:dyDescent="0.4">
      <c r="A89" s="92"/>
    </row>
    <row r="90" spans="1:17" ht="21" customHeight="1" x14ac:dyDescent="0.4">
      <c r="A90" s="92"/>
      <c r="E90" s="116"/>
      <c r="F90" s="117"/>
      <c r="G90" s="118"/>
      <c r="H90" s="119"/>
      <c r="I90" s="120"/>
      <c r="J90" s="121"/>
    </row>
    <row r="91" spans="1:17" ht="19.5" customHeight="1" x14ac:dyDescent="0.4">
      <c r="A91" s="92"/>
    </row>
    <row r="92" spans="1:17" x14ac:dyDescent="0.4">
      <c r="A92" s="89"/>
    </row>
    <row r="93" spans="1:17" ht="20.5" x14ac:dyDescent="0.4">
      <c r="A93" s="92"/>
    </row>
    <row r="94" spans="1:17" ht="20.5" x14ac:dyDescent="0.4">
      <c r="A94" s="92"/>
    </row>
    <row r="95" spans="1:17" ht="20.5" x14ac:dyDescent="0.4">
      <c r="A95" s="92"/>
    </row>
    <row r="96" spans="1:17" ht="20.5" x14ac:dyDescent="0.4">
      <c r="A96" s="92"/>
    </row>
    <row r="97" spans="1:1" ht="20.5" x14ac:dyDescent="0.4">
      <c r="A97" s="92"/>
    </row>
    <row r="98" spans="1:1" ht="20.5" x14ac:dyDescent="0.4">
      <c r="A98" s="92"/>
    </row>
    <row r="99" spans="1:1" ht="20.5" x14ac:dyDescent="0.4">
      <c r="A99" s="92"/>
    </row>
    <row r="100" spans="1:1" ht="20.5" x14ac:dyDescent="0.4">
      <c r="A100" s="92"/>
    </row>
    <row r="101" spans="1:1" ht="20.5" x14ac:dyDescent="0.4">
      <c r="A101" s="92"/>
    </row>
    <row r="102" spans="1:1" ht="20.5" x14ac:dyDescent="0.4">
      <c r="A102" s="92"/>
    </row>
    <row r="103" spans="1:1" ht="20.5" x14ac:dyDescent="0.4">
      <c r="A103" s="92"/>
    </row>
    <row r="104" spans="1:1" ht="20.5" x14ac:dyDescent="0.4">
      <c r="A104" s="92"/>
    </row>
    <row r="105" spans="1:1" x14ac:dyDescent="0.4">
      <c r="A105" s="89"/>
    </row>
    <row r="106" spans="1:1" ht="20.5" x14ac:dyDescent="0.4">
      <c r="A106" s="92"/>
    </row>
    <row r="107" spans="1:1" ht="20.5" x14ac:dyDescent="0.4">
      <c r="A107" s="92"/>
    </row>
    <row r="108" spans="1:1" ht="20.5" x14ac:dyDescent="0.4">
      <c r="A108" s="92"/>
    </row>
    <row r="109" spans="1:1" ht="20.5" x14ac:dyDescent="0.4">
      <c r="A109" s="92"/>
    </row>
    <row r="110" spans="1:1" ht="20.5" x14ac:dyDescent="0.4">
      <c r="A110" s="92"/>
    </row>
    <row r="111" spans="1:1" ht="20.5" x14ac:dyDescent="0.4">
      <c r="A111" s="92"/>
    </row>
    <row r="112" spans="1:1" ht="20.5" x14ac:dyDescent="0.4">
      <c r="A112" s="92"/>
    </row>
    <row r="113" spans="1:1" ht="20.5" x14ac:dyDescent="0.4">
      <c r="A113" s="92"/>
    </row>
    <row r="114" spans="1:1" ht="20.5" x14ac:dyDescent="0.4">
      <c r="A114" s="92"/>
    </row>
    <row r="115" spans="1:1" ht="20.5" x14ac:dyDescent="0.4">
      <c r="A115" s="92"/>
    </row>
    <row r="116" spans="1:1" ht="20.5" x14ac:dyDescent="0.4">
      <c r="A116" s="92"/>
    </row>
    <row r="117" spans="1:1" ht="20.5" x14ac:dyDescent="0.4">
      <c r="A117" s="92"/>
    </row>
    <row r="118" spans="1:1" x14ac:dyDescent="0.4">
      <c r="A118" s="89"/>
    </row>
    <row r="119" spans="1:1" ht="20.5" x14ac:dyDescent="0.4">
      <c r="A119" s="92"/>
    </row>
    <row r="120" spans="1:1" ht="20.5" x14ac:dyDescent="0.4">
      <c r="A120" s="92"/>
    </row>
    <row r="121" spans="1:1" ht="20.5" x14ac:dyDescent="0.4">
      <c r="A121" s="92"/>
    </row>
    <row r="122" spans="1:1" ht="20.5" x14ac:dyDescent="0.4">
      <c r="A122" s="92"/>
    </row>
    <row r="123" spans="1:1" ht="20.5" x14ac:dyDescent="0.4">
      <c r="A123" s="92"/>
    </row>
    <row r="124" spans="1:1" ht="20.5" x14ac:dyDescent="0.4">
      <c r="A124" s="92"/>
    </row>
    <row r="125" spans="1:1" ht="20.5" x14ac:dyDescent="0.4">
      <c r="A125" s="92"/>
    </row>
    <row r="126" spans="1:1" ht="20.5" x14ac:dyDescent="0.4">
      <c r="A126" s="92"/>
    </row>
    <row r="127" spans="1:1" ht="20.5" x14ac:dyDescent="0.4">
      <c r="A127" s="92"/>
    </row>
    <row r="128" spans="1:1" ht="20.5" x14ac:dyDescent="0.4">
      <c r="A128" s="92"/>
    </row>
    <row r="129" spans="1:1" ht="20.5" x14ac:dyDescent="0.4">
      <c r="A129" s="92"/>
    </row>
    <row r="130" spans="1:1" ht="20.5" x14ac:dyDescent="0.4">
      <c r="A130" s="92"/>
    </row>
    <row r="131" spans="1:1" x14ac:dyDescent="0.4">
      <c r="A131" s="89"/>
    </row>
    <row r="132" spans="1:1" ht="20.5" x14ac:dyDescent="0.4">
      <c r="A132" s="92"/>
    </row>
    <row r="133" spans="1:1" ht="20.5" x14ac:dyDescent="0.4">
      <c r="A133" s="92"/>
    </row>
    <row r="134" spans="1:1" ht="20.5" x14ac:dyDescent="0.4">
      <c r="A134" s="92"/>
    </row>
    <row r="135" spans="1:1" ht="20.5" x14ac:dyDescent="0.4">
      <c r="A135" s="92"/>
    </row>
    <row r="136" spans="1:1" ht="20.5" x14ac:dyDescent="0.4">
      <c r="A136" s="92"/>
    </row>
    <row r="137" spans="1:1" ht="20.5" x14ac:dyDescent="0.4">
      <c r="A137" s="92"/>
    </row>
    <row r="138" spans="1:1" ht="20.5" x14ac:dyDescent="0.4">
      <c r="A138" s="92"/>
    </row>
    <row r="139" spans="1:1" ht="20.5" x14ac:dyDescent="0.4">
      <c r="A139" s="92"/>
    </row>
    <row r="140" spans="1:1" ht="20.5" x14ac:dyDescent="0.4">
      <c r="A140" s="92"/>
    </row>
    <row r="141" spans="1:1" ht="20.5" x14ac:dyDescent="0.4">
      <c r="A141" s="92"/>
    </row>
    <row r="142" spans="1:1" ht="20.5" x14ac:dyDescent="0.4">
      <c r="A142" s="92"/>
    </row>
    <row r="143" spans="1:1" ht="20.5" x14ac:dyDescent="0.4">
      <c r="A143" s="92"/>
    </row>
    <row r="144" spans="1:1" x14ac:dyDescent="0.4">
      <c r="A144" s="89"/>
    </row>
    <row r="145" spans="1:1" ht="20.5" x14ac:dyDescent="0.4">
      <c r="A145" s="92"/>
    </row>
    <row r="146" spans="1:1" ht="20.5" x14ac:dyDescent="0.4">
      <c r="A146" s="92"/>
    </row>
    <row r="147" spans="1:1" ht="20.5" x14ac:dyDescent="0.4">
      <c r="A147" s="92"/>
    </row>
    <row r="148" spans="1:1" ht="20.5" x14ac:dyDescent="0.4">
      <c r="A148" s="92"/>
    </row>
    <row r="149" spans="1:1" ht="20.5" x14ac:dyDescent="0.4">
      <c r="A149" s="92"/>
    </row>
    <row r="150" spans="1:1" ht="20.5" x14ac:dyDescent="0.4">
      <c r="A150" s="92"/>
    </row>
    <row r="151" spans="1:1" ht="20.5" x14ac:dyDescent="0.4">
      <c r="A151" s="92"/>
    </row>
    <row r="152" spans="1:1" ht="20.5" x14ac:dyDescent="0.4">
      <c r="A152" s="92"/>
    </row>
    <row r="153" spans="1:1" ht="20.5" x14ac:dyDescent="0.4">
      <c r="A153" s="92"/>
    </row>
    <row r="154" spans="1:1" ht="20.5" x14ac:dyDescent="0.4">
      <c r="A154" s="92"/>
    </row>
    <row r="155" spans="1:1" ht="20.5" x14ac:dyDescent="0.4">
      <c r="A155" s="92"/>
    </row>
    <row r="156" spans="1:1" ht="20.5" x14ac:dyDescent="0.4">
      <c r="A156" s="92"/>
    </row>
    <row r="159" spans="1:1" ht="20.5" x14ac:dyDescent="0.4">
      <c r="A159" s="92"/>
    </row>
    <row r="160" spans="1:1" ht="20.5" x14ac:dyDescent="0.4">
      <c r="A160" s="92"/>
    </row>
    <row r="161" spans="1:1" ht="20.5" x14ac:dyDescent="0.4">
      <c r="A161" s="92"/>
    </row>
    <row r="162" spans="1:1" ht="20.5" x14ac:dyDescent="0.4">
      <c r="A162" s="92"/>
    </row>
    <row r="163" spans="1:1" x14ac:dyDescent="0.4">
      <c r="A163" s="89"/>
    </row>
    <row r="164" spans="1:1" ht="20.5" x14ac:dyDescent="0.4">
      <c r="A164" s="92"/>
    </row>
    <row r="165" spans="1:1" ht="20.5" x14ac:dyDescent="0.4">
      <c r="A165" s="92"/>
    </row>
    <row r="166" spans="1:1" ht="20.5" x14ac:dyDescent="0.4">
      <c r="A166" s="92"/>
    </row>
    <row r="167" spans="1:1" ht="20.5" x14ac:dyDescent="0.4">
      <c r="A167" s="92"/>
    </row>
    <row r="168" spans="1:1" ht="20.5" x14ac:dyDescent="0.4">
      <c r="A168" s="92"/>
    </row>
    <row r="169" spans="1:1" ht="20.5" x14ac:dyDescent="0.4">
      <c r="A169" s="92"/>
    </row>
    <row r="170" spans="1:1" ht="20.5" x14ac:dyDescent="0.4">
      <c r="A170" s="92"/>
    </row>
    <row r="171" spans="1:1" ht="20.5" x14ac:dyDescent="0.4">
      <c r="A171" s="92"/>
    </row>
    <row r="172" spans="1:1" ht="20.5" x14ac:dyDescent="0.4">
      <c r="A172" s="92"/>
    </row>
    <row r="173" spans="1:1" ht="20.5" x14ac:dyDescent="0.4">
      <c r="A173" s="92"/>
    </row>
    <row r="174" spans="1:1" ht="20.5" x14ac:dyDescent="0.4">
      <c r="A174" s="92"/>
    </row>
    <row r="175" spans="1:1" ht="20.5" x14ac:dyDescent="0.4">
      <c r="A175" s="92"/>
    </row>
    <row r="176" spans="1:1" x14ac:dyDescent="0.4">
      <c r="A176" s="89"/>
    </row>
    <row r="177" spans="1:1" ht="20.5" x14ac:dyDescent="0.4">
      <c r="A177" s="92"/>
    </row>
    <row r="178" spans="1:1" ht="20.5" x14ac:dyDescent="0.4">
      <c r="A178" s="92"/>
    </row>
    <row r="179" spans="1:1" ht="20.5" x14ac:dyDescent="0.4">
      <c r="A179" s="92"/>
    </row>
    <row r="180" spans="1:1" ht="20.5" x14ac:dyDescent="0.4">
      <c r="A180" s="92"/>
    </row>
    <row r="181" spans="1:1" ht="20.5" x14ac:dyDescent="0.4">
      <c r="A181" s="92"/>
    </row>
    <row r="182" spans="1:1" ht="20.5" x14ac:dyDescent="0.4">
      <c r="A182" s="92"/>
    </row>
    <row r="183" spans="1:1" ht="20.5" x14ac:dyDescent="0.4">
      <c r="A183" s="92"/>
    </row>
    <row r="184" spans="1:1" ht="20.5" x14ac:dyDescent="0.4">
      <c r="A184" s="92"/>
    </row>
    <row r="185" spans="1:1" ht="20.5" x14ac:dyDescent="0.4">
      <c r="A185" s="92"/>
    </row>
    <row r="186" spans="1:1" ht="20.5" x14ac:dyDescent="0.4">
      <c r="A186" s="92"/>
    </row>
    <row r="187" spans="1:1" ht="20.5" x14ac:dyDescent="0.4">
      <c r="A187" s="92"/>
    </row>
    <row r="188" spans="1:1" ht="20.5" x14ac:dyDescent="0.4">
      <c r="A188" s="92"/>
    </row>
    <row r="189" spans="1:1" x14ac:dyDescent="0.4">
      <c r="A189" s="89"/>
    </row>
    <row r="190" spans="1:1" ht="20.5" x14ac:dyDescent="0.4">
      <c r="A190" s="92"/>
    </row>
    <row r="191" spans="1:1" ht="20.5" x14ac:dyDescent="0.4">
      <c r="A191" s="92"/>
    </row>
    <row r="192" spans="1:1" ht="20.5" x14ac:dyDescent="0.4">
      <c r="A192" s="92"/>
    </row>
    <row r="193" spans="1:1" ht="20.5" x14ac:dyDescent="0.4">
      <c r="A193" s="92"/>
    </row>
    <row r="194" spans="1:1" ht="20.5" x14ac:dyDescent="0.4">
      <c r="A194" s="92"/>
    </row>
    <row r="195" spans="1:1" ht="20.5" x14ac:dyDescent="0.4">
      <c r="A195" s="92"/>
    </row>
    <row r="196" spans="1:1" ht="20.5" x14ac:dyDescent="0.4">
      <c r="A196" s="92"/>
    </row>
    <row r="197" spans="1:1" ht="20.5" x14ac:dyDescent="0.4">
      <c r="A197" s="92"/>
    </row>
    <row r="198" spans="1:1" ht="20.5" x14ac:dyDescent="0.4">
      <c r="A198" s="92"/>
    </row>
    <row r="199" spans="1:1" ht="20.5" x14ac:dyDescent="0.4">
      <c r="A199" s="92"/>
    </row>
    <row r="200" spans="1:1" ht="20.5" x14ac:dyDescent="0.4">
      <c r="A200" s="92"/>
    </row>
    <row r="201" spans="1:1" ht="20.5" x14ac:dyDescent="0.4">
      <c r="A201" s="92"/>
    </row>
    <row r="202" spans="1:1" x14ac:dyDescent="0.4">
      <c r="A202" s="89"/>
    </row>
    <row r="203" spans="1:1" ht="20.5" x14ac:dyDescent="0.4">
      <c r="A203" s="92"/>
    </row>
    <row r="204" spans="1:1" ht="20.5" x14ac:dyDescent="0.4">
      <c r="A204" s="92"/>
    </row>
    <row r="205" spans="1:1" ht="20.5" x14ac:dyDescent="0.4">
      <c r="A205" s="92"/>
    </row>
    <row r="206" spans="1:1" ht="20.5" x14ac:dyDescent="0.4">
      <c r="A206" s="92"/>
    </row>
    <row r="207" spans="1:1" ht="20.5" x14ac:dyDescent="0.4">
      <c r="A207" s="92"/>
    </row>
    <row r="208" spans="1:1" ht="20.5" x14ac:dyDescent="0.4">
      <c r="A208" s="92"/>
    </row>
    <row r="209" spans="1:1" ht="20.5" x14ac:dyDescent="0.4">
      <c r="A209" s="92"/>
    </row>
    <row r="210" spans="1:1" ht="20.5" x14ac:dyDescent="0.4">
      <c r="A210" s="92"/>
    </row>
    <row r="211" spans="1:1" ht="20.5" x14ac:dyDescent="0.4">
      <c r="A211" s="92"/>
    </row>
    <row r="212" spans="1:1" ht="20.5" x14ac:dyDescent="0.4">
      <c r="A212" s="92"/>
    </row>
    <row r="213" spans="1:1" ht="20.5" x14ac:dyDescent="0.4">
      <c r="A213" s="92"/>
    </row>
    <row r="214" spans="1:1" ht="20.5" x14ac:dyDescent="0.4">
      <c r="A214" s="92"/>
    </row>
    <row r="215" spans="1:1" x14ac:dyDescent="0.4">
      <c r="A215" s="89"/>
    </row>
    <row r="216" spans="1:1" ht="20.5" x14ac:dyDescent="0.4">
      <c r="A216" s="92"/>
    </row>
    <row r="217" spans="1:1" ht="20.5" x14ac:dyDescent="0.4">
      <c r="A217" s="92"/>
    </row>
    <row r="218" spans="1:1" ht="20.5" x14ac:dyDescent="0.4">
      <c r="A218" s="92"/>
    </row>
    <row r="219" spans="1:1" ht="20.5" x14ac:dyDescent="0.4">
      <c r="A219" s="92"/>
    </row>
    <row r="220" spans="1:1" ht="20.5" x14ac:dyDescent="0.4">
      <c r="A220" s="92"/>
    </row>
    <row r="221" spans="1:1" ht="20.5" x14ac:dyDescent="0.4">
      <c r="A221" s="92"/>
    </row>
    <row r="222" spans="1:1" ht="20.5" x14ac:dyDescent="0.4">
      <c r="A222" s="92"/>
    </row>
    <row r="223" spans="1:1" ht="20.5" x14ac:dyDescent="0.4">
      <c r="A223" s="92"/>
    </row>
    <row r="224" spans="1:1" ht="20.5" x14ac:dyDescent="0.4">
      <c r="A224" s="92"/>
    </row>
    <row r="225" spans="1:1" ht="20.5" x14ac:dyDescent="0.4">
      <c r="A225" s="92"/>
    </row>
    <row r="226" spans="1:1" ht="20.5" x14ac:dyDescent="0.4">
      <c r="A226" s="92"/>
    </row>
    <row r="227" spans="1:1" ht="20.5" x14ac:dyDescent="0.4">
      <c r="A227" s="92"/>
    </row>
    <row r="231" spans="1:1" ht="20.5" x14ac:dyDescent="0.4">
      <c r="A231" s="92"/>
    </row>
    <row r="232" spans="1:1" ht="20.5" x14ac:dyDescent="0.4">
      <c r="A232" s="92"/>
    </row>
    <row r="233" spans="1:1" ht="20.5" x14ac:dyDescent="0.4">
      <c r="A233" s="92"/>
    </row>
    <row r="234" spans="1:1" ht="20.5" x14ac:dyDescent="0.4">
      <c r="A234" s="92"/>
    </row>
    <row r="235" spans="1:1" ht="20.5" x14ac:dyDescent="0.4">
      <c r="A235" s="92"/>
    </row>
    <row r="236" spans="1:1" ht="20.5" x14ac:dyDescent="0.4">
      <c r="A236" s="92"/>
    </row>
    <row r="237" spans="1:1" ht="20.5" x14ac:dyDescent="0.4">
      <c r="A237" s="92"/>
    </row>
    <row r="238" spans="1:1" x14ac:dyDescent="0.4">
      <c r="A238" s="89"/>
    </row>
    <row r="239" spans="1:1" ht="20.5" x14ac:dyDescent="0.4">
      <c r="A239" s="92"/>
    </row>
    <row r="240" spans="1:1" ht="20.5" x14ac:dyDescent="0.4">
      <c r="A240" s="92"/>
    </row>
    <row r="241" spans="1:1" ht="20.5" x14ac:dyDescent="0.4">
      <c r="A241" s="92"/>
    </row>
    <row r="242" spans="1:1" ht="20.5" x14ac:dyDescent="0.4">
      <c r="A242" s="92"/>
    </row>
    <row r="243" spans="1:1" ht="20.5" x14ac:dyDescent="0.4">
      <c r="A243" s="92"/>
    </row>
    <row r="244" spans="1:1" ht="20.5" x14ac:dyDescent="0.4">
      <c r="A244" s="92"/>
    </row>
    <row r="245" spans="1:1" ht="20.5" x14ac:dyDescent="0.4">
      <c r="A245" s="92"/>
    </row>
    <row r="246" spans="1:1" ht="20.5" x14ac:dyDescent="0.4">
      <c r="A246" s="92"/>
    </row>
    <row r="247" spans="1:1" ht="20.5" x14ac:dyDescent="0.4">
      <c r="A247" s="92"/>
    </row>
    <row r="248" spans="1:1" ht="20.5" x14ac:dyDescent="0.4">
      <c r="A248" s="92"/>
    </row>
    <row r="249" spans="1:1" ht="20.5" x14ac:dyDescent="0.4">
      <c r="A249" s="92"/>
    </row>
    <row r="250" spans="1:1" ht="20.5" x14ac:dyDescent="0.4">
      <c r="A250" s="92"/>
    </row>
    <row r="251" spans="1:1" x14ac:dyDescent="0.4">
      <c r="A251" s="89"/>
    </row>
    <row r="252" spans="1:1" ht="20.5" x14ac:dyDescent="0.4">
      <c r="A252" s="92"/>
    </row>
    <row r="253" spans="1:1" ht="20.5" x14ac:dyDescent="0.4">
      <c r="A253" s="92"/>
    </row>
    <row r="254" spans="1:1" ht="20.5" x14ac:dyDescent="0.4">
      <c r="A254" s="92"/>
    </row>
    <row r="255" spans="1:1" ht="20.5" x14ac:dyDescent="0.4">
      <c r="A255" s="92"/>
    </row>
    <row r="256" spans="1:1" ht="20.5" x14ac:dyDescent="0.4">
      <c r="A256" s="92"/>
    </row>
    <row r="257" spans="1:1" ht="20.5" x14ac:dyDescent="0.4">
      <c r="A257" s="92"/>
    </row>
    <row r="258" spans="1:1" ht="20.5" x14ac:dyDescent="0.4">
      <c r="A258" s="92"/>
    </row>
    <row r="259" spans="1:1" ht="20.5" x14ac:dyDescent="0.4">
      <c r="A259" s="92"/>
    </row>
    <row r="260" spans="1:1" ht="20.5" x14ac:dyDescent="0.4">
      <c r="A260" s="92"/>
    </row>
    <row r="261" spans="1:1" ht="20.5" x14ac:dyDescent="0.4">
      <c r="A261" s="92"/>
    </row>
    <row r="262" spans="1:1" ht="20.5" x14ac:dyDescent="0.4">
      <c r="A262" s="92"/>
    </row>
    <row r="263" spans="1:1" ht="20.5" x14ac:dyDescent="0.4">
      <c r="A263" s="92"/>
    </row>
    <row r="264" spans="1:1" x14ac:dyDescent="0.4">
      <c r="A264" s="89"/>
    </row>
    <row r="265" spans="1:1" ht="20.5" x14ac:dyDescent="0.4">
      <c r="A265" s="92"/>
    </row>
    <row r="266" spans="1:1" ht="20.5" x14ac:dyDescent="0.4">
      <c r="A266" s="92"/>
    </row>
    <row r="267" spans="1:1" ht="20.5" x14ac:dyDescent="0.4">
      <c r="A267" s="92"/>
    </row>
    <row r="268" spans="1:1" ht="20.5" x14ac:dyDescent="0.4">
      <c r="A268" s="92"/>
    </row>
    <row r="269" spans="1:1" ht="20.5" x14ac:dyDescent="0.4">
      <c r="A269" s="92"/>
    </row>
    <row r="270" spans="1:1" ht="20.5" x14ac:dyDescent="0.4">
      <c r="A270" s="92"/>
    </row>
    <row r="271" spans="1:1" ht="20.5" x14ac:dyDescent="0.4">
      <c r="A271" s="92"/>
    </row>
    <row r="272" spans="1:1" ht="20.5" x14ac:dyDescent="0.4">
      <c r="A272" s="92"/>
    </row>
    <row r="273" spans="1:1" ht="20.5" x14ac:dyDescent="0.4">
      <c r="A273" s="92"/>
    </row>
    <row r="274" spans="1:1" ht="20.5" x14ac:dyDescent="0.4">
      <c r="A274" s="92"/>
    </row>
    <row r="275" spans="1:1" ht="20.5" x14ac:dyDescent="0.4">
      <c r="A275" s="92"/>
    </row>
    <row r="276" spans="1:1" ht="20.5" x14ac:dyDescent="0.4">
      <c r="A276" s="92"/>
    </row>
    <row r="277" spans="1:1" x14ac:dyDescent="0.4">
      <c r="A277" s="89"/>
    </row>
    <row r="278" spans="1:1" ht="20.5" x14ac:dyDescent="0.4">
      <c r="A278" s="92"/>
    </row>
    <row r="279" spans="1:1" ht="20.5" x14ac:dyDescent="0.4">
      <c r="A279" s="92"/>
    </row>
    <row r="280" spans="1:1" ht="20.5" x14ac:dyDescent="0.4">
      <c r="A280" s="92"/>
    </row>
    <row r="281" spans="1:1" ht="20.5" x14ac:dyDescent="0.4">
      <c r="A281" s="92"/>
    </row>
    <row r="282" spans="1:1" ht="20.5" x14ac:dyDescent="0.4">
      <c r="A282" s="92"/>
    </row>
    <row r="283" spans="1:1" ht="20.5" x14ac:dyDescent="0.4">
      <c r="A283" s="92"/>
    </row>
    <row r="284" spans="1:1" ht="20.5" x14ac:dyDescent="0.4">
      <c r="A284" s="92"/>
    </row>
    <row r="285" spans="1:1" ht="20.5" x14ac:dyDescent="0.4">
      <c r="A285" s="92"/>
    </row>
    <row r="286" spans="1:1" ht="20.5" x14ac:dyDescent="0.4">
      <c r="A286" s="92"/>
    </row>
    <row r="287" spans="1:1" ht="20.5" x14ac:dyDescent="0.4">
      <c r="A287" s="92"/>
    </row>
    <row r="288" spans="1:1" ht="20.5" x14ac:dyDescent="0.4">
      <c r="A288" s="92"/>
    </row>
    <row r="289" spans="1:1" ht="20.5" x14ac:dyDescent="0.4">
      <c r="A289" s="92"/>
    </row>
    <row r="290" spans="1:1" x14ac:dyDescent="0.4">
      <c r="A290" s="89"/>
    </row>
    <row r="291" spans="1:1" ht="20.5" x14ac:dyDescent="0.4">
      <c r="A291" s="92"/>
    </row>
    <row r="292" spans="1:1" ht="20.5" x14ac:dyDescent="0.4">
      <c r="A292" s="92"/>
    </row>
    <row r="293" spans="1:1" ht="20.5" x14ac:dyDescent="0.4">
      <c r="A293" s="92"/>
    </row>
    <row r="294" spans="1:1" ht="20.5" x14ac:dyDescent="0.4">
      <c r="A294" s="92"/>
    </row>
    <row r="295" spans="1:1" ht="20.5" x14ac:dyDescent="0.4">
      <c r="A295" s="92"/>
    </row>
    <row r="296" spans="1:1" ht="20.5" x14ac:dyDescent="0.4">
      <c r="A296" s="92"/>
    </row>
    <row r="297" spans="1:1" ht="20.5" x14ac:dyDescent="0.4">
      <c r="A297" s="92"/>
    </row>
    <row r="298" spans="1:1" ht="20.5" x14ac:dyDescent="0.4">
      <c r="A298" s="92"/>
    </row>
    <row r="299" spans="1:1" ht="20.5" x14ac:dyDescent="0.4">
      <c r="A299" s="92"/>
    </row>
    <row r="300" spans="1:1" ht="20.5" x14ac:dyDescent="0.4">
      <c r="A300" s="92"/>
    </row>
    <row r="301" spans="1:1" ht="20.5" x14ac:dyDescent="0.4">
      <c r="A301" s="92"/>
    </row>
    <row r="302" spans="1:1" ht="20.5" x14ac:dyDescent="0.4">
      <c r="A302" s="9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302"/>
  <sheetViews>
    <sheetView showGridLines="0" zoomScale="50" zoomScaleNormal="50" workbookViewId="0">
      <selection activeCell="G74" sqref="G74:P85"/>
    </sheetView>
  </sheetViews>
  <sheetFormatPr defaultColWidth="6.69140625" defaultRowHeight="20" x14ac:dyDescent="0.4"/>
  <cols>
    <col min="1" max="1" width="5.53515625" style="76" customWidth="1"/>
    <col min="2" max="2" width="22.69140625" style="76" customWidth="1"/>
    <col min="3" max="3" width="36.84375" style="76" customWidth="1"/>
    <col min="4" max="4" width="5.15234375" style="77" customWidth="1"/>
    <col min="5" max="5" width="27.4609375" style="76" customWidth="1"/>
    <col min="6" max="6" width="7.4609375" style="77" customWidth="1"/>
    <col min="7" max="7" width="29" style="76" customWidth="1"/>
    <col min="8" max="8" width="7.4609375" style="77" customWidth="1"/>
    <col min="9" max="9" width="33.15234375" style="76" customWidth="1"/>
    <col min="10" max="10" width="7.4609375" style="77" customWidth="1"/>
    <col min="11" max="11" width="34.53515625" style="76" customWidth="1"/>
    <col min="12" max="12" width="7.4609375" style="77" customWidth="1"/>
    <col min="13" max="13" width="28.53515625" style="76" customWidth="1"/>
    <col min="14" max="14" width="7.4609375" style="77" customWidth="1"/>
    <col min="15" max="15" width="24.23046875" style="76" customWidth="1"/>
    <col min="16" max="16" width="7.4609375" style="77" customWidth="1"/>
    <col min="17" max="17" width="13.3046875" style="76" customWidth="1"/>
    <col min="18" max="18" width="31.3046875" style="76" customWidth="1"/>
    <col min="19" max="19" width="11.84375" style="76" customWidth="1"/>
    <col min="20" max="20" width="11.3046875" style="76" customWidth="1"/>
    <col min="21" max="16384" width="6.69140625" style="76"/>
  </cols>
  <sheetData>
    <row r="1" spans="1:88" ht="49.75" customHeight="1" x14ac:dyDescent="0.4">
      <c r="R1" s="78"/>
      <c r="S1" s="78"/>
    </row>
    <row r="2" spans="1:88" ht="13.75" customHeight="1" x14ac:dyDescent="0.4">
      <c r="L2" s="89"/>
      <c r="R2" s="78"/>
      <c r="S2" s="78"/>
    </row>
    <row r="3" spans="1:88" ht="19.399999999999999" customHeight="1" x14ac:dyDescent="0.4">
      <c r="B3" s="79"/>
      <c r="R3" s="78"/>
      <c r="S3" s="78"/>
      <c r="BB3" s="79"/>
      <c r="BC3" s="79"/>
      <c r="BD3" s="79"/>
    </row>
    <row r="4" spans="1:88" ht="43.75" customHeight="1" x14ac:dyDescent="0.4">
      <c r="B4" s="272"/>
      <c r="C4" s="272"/>
      <c r="R4" s="78"/>
      <c r="S4" s="78"/>
      <c r="BB4" s="79"/>
      <c r="BC4" s="79"/>
      <c r="BD4" s="79"/>
      <c r="BK4" s="273"/>
      <c r="BL4" s="273"/>
      <c r="BM4" s="273"/>
      <c r="BN4" s="273"/>
      <c r="CH4" s="80"/>
    </row>
    <row r="5" spans="1:88" ht="30" customHeight="1" x14ac:dyDescent="0.4">
      <c r="B5" s="272"/>
      <c r="C5" s="272"/>
      <c r="D5" s="81"/>
      <c r="F5" s="81"/>
      <c r="H5" s="81"/>
      <c r="I5" s="79"/>
      <c r="J5" s="81"/>
      <c r="K5" s="79"/>
      <c r="L5" s="81"/>
      <c r="M5" s="79"/>
      <c r="N5" s="81"/>
      <c r="O5" s="79"/>
      <c r="P5" s="81"/>
      <c r="R5" s="82"/>
      <c r="S5" s="82"/>
      <c r="BB5" s="79"/>
      <c r="BC5" s="79"/>
      <c r="BD5" s="79"/>
      <c r="BH5" s="79"/>
      <c r="BI5" s="79"/>
      <c r="BJ5" s="79"/>
      <c r="BK5" s="273"/>
      <c r="BL5" s="273"/>
      <c r="BM5" s="273"/>
      <c r="BN5" s="273"/>
      <c r="BO5" s="79"/>
      <c r="BP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48.65" customHeight="1" x14ac:dyDescent="0.4">
      <c r="F6" s="83"/>
      <c r="G6" s="274" t="s">
        <v>15</v>
      </c>
      <c r="H6" s="274"/>
      <c r="I6" s="122" t="str">
        <f>UPPER(TEXT(DATE(CalendarYear,1,1)," yyyy"))</f>
        <v xml:space="preserve"> 2022</v>
      </c>
      <c r="J6" s="83"/>
      <c r="K6" s="126" t="s">
        <v>171</v>
      </c>
      <c r="L6" s="83"/>
      <c r="N6" s="83"/>
      <c r="BO6" s="84"/>
      <c r="BP6" s="85"/>
      <c r="BR6" s="84"/>
      <c r="BS6" s="85"/>
      <c r="BT6" s="84"/>
      <c r="BU6" s="84"/>
      <c r="BV6" s="85"/>
      <c r="BW6" s="84"/>
      <c r="BX6" s="84"/>
      <c r="BY6" s="85"/>
      <c r="CA6" s="84"/>
      <c r="CB6" s="260"/>
      <c r="CC6" s="260"/>
      <c r="CD6" s="86"/>
      <c r="CE6" s="85"/>
    </row>
    <row r="7" spans="1:88" s="89" customFormat="1" ht="26.25" customHeight="1" x14ac:dyDescent="0.4">
      <c r="A7" s="76"/>
      <c r="B7" s="87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88"/>
      <c r="Q7" s="76"/>
      <c r="S7" s="76"/>
      <c r="T7" s="90"/>
      <c r="X7" s="76"/>
      <c r="Y7" s="76"/>
    </row>
    <row r="8" spans="1:88" s="51" customFormat="1" ht="18" customHeight="1" x14ac:dyDescent="0.3">
      <c r="B8" s="52"/>
      <c r="C8" s="55" t="str">
        <f>IF(DAY(FebSun1)=1,"",IF(AND(YEAR(FebSun1+1)=CalendarYear,MONTH(FebSun1+1)=2),FebSun1+1,""))</f>
        <v/>
      </c>
      <c r="D8" s="91" t="s">
        <v>29</v>
      </c>
      <c r="E8" s="55">
        <f>IF(DAY(FebSun1)=1,"",IF(AND(YEAR(FebSun1+2)=CalendarYear,MONTH(FebSun1+2)=2),FebSun1+2,""))</f>
        <v>44593</v>
      </c>
      <c r="F8" s="91" t="s">
        <v>29</v>
      </c>
      <c r="G8" s="56">
        <f>IF(DAY(FebSun1)=1,"",IF(AND(YEAR(FebSun1+3)=CalendarYear,MONTH(FebSun1+3)=2),FebSun1+3,""))</f>
        <v>44594</v>
      </c>
      <c r="H8" s="91" t="s">
        <v>29</v>
      </c>
      <c r="I8" s="56">
        <f>IF(DAY(FebSun1)=1,"",IF(AND(YEAR(FebSun1+4)=CalendarYear,MONTH(FebSun1+4)=2),FebSun1+4,""))</f>
        <v>44595</v>
      </c>
      <c r="J8" s="91" t="s">
        <v>29</v>
      </c>
      <c r="K8" s="56">
        <f>IF(DAY(FebSun1)=1,"",IF(AND(YEAR(FebSun1+5)=CalendarYear,MONTH(FebSun1+5)=2),FebSun1+5,""))</f>
        <v>44596</v>
      </c>
      <c r="L8" s="91" t="s">
        <v>29</v>
      </c>
      <c r="M8" s="56">
        <f>IF(DAY(FebSun1)=1,"",IF(AND(YEAR(FebSun1+6)=CalendarYear,MONTH(FebSun1+6)=2),FebSun1+6,""))</f>
        <v>44597</v>
      </c>
      <c r="N8" s="91" t="s">
        <v>29</v>
      </c>
      <c r="O8" s="56">
        <f>IF(DAY(FebSun1)=1,IF(AND(YEAR(FebSun1)=CalendarYear,MONTH(FebSun1)=2),FebSun1,""),IF(AND(YEAR(FebSun1+7)=CalendarYear,MONTH(FebSun1+7)=2),FebSun1+7,""))</f>
        <v>44598</v>
      </c>
      <c r="P8" s="91" t="s">
        <v>29</v>
      </c>
      <c r="Q8" s="47"/>
      <c r="T8" s="53"/>
      <c r="U8" s="54"/>
    </row>
    <row r="9" spans="1:88" s="92" customFormat="1" ht="17.5" customHeight="1" x14ac:dyDescent="0.5">
      <c r="B9" s="93" t="s">
        <v>1</v>
      </c>
      <c r="C9" s="94"/>
      <c r="D9" s="95"/>
      <c r="E9" s="94" t="s">
        <v>105</v>
      </c>
      <c r="F9" s="95"/>
      <c r="G9" s="96" t="s">
        <v>43</v>
      </c>
      <c r="H9" s="95"/>
      <c r="I9" s="96" t="s">
        <v>155</v>
      </c>
      <c r="J9" s="95"/>
      <c r="K9" s="96" t="s">
        <v>45</v>
      </c>
      <c r="L9" s="95"/>
      <c r="M9" s="96" t="s">
        <v>241</v>
      </c>
      <c r="N9" s="95"/>
      <c r="O9" s="96" t="s">
        <v>32</v>
      </c>
      <c r="P9" s="95"/>
      <c r="Q9" s="97"/>
    </row>
    <row r="10" spans="1:88" s="92" customFormat="1" ht="17.5" customHeight="1" x14ac:dyDescent="0.5">
      <c r="B10" s="93"/>
      <c r="C10" s="98"/>
      <c r="D10" s="99"/>
      <c r="E10" s="98"/>
      <c r="F10" s="99"/>
      <c r="G10" s="100"/>
      <c r="H10" s="99"/>
      <c r="I10" s="100"/>
      <c r="J10" s="99"/>
      <c r="K10" s="100"/>
      <c r="L10" s="99"/>
      <c r="M10" s="100"/>
      <c r="N10" s="99"/>
      <c r="O10" s="100"/>
      <c r="P10" s="99"/>
      <c r="Q10" s="97"/>
    </row>
    <row r="11" spans="1:88" s="92" customFormat="1" ht="17.5" customHeight="1" x14ac:dyDescent="0.5">
      <c r="B11" s="93" t="s">
        <v>3</v>
      </c>
      <c r="C11" s="98"/>
      <c r="D11" s="99"/>
      <c r="E11" s="98" t="s">
        <v>248</v>
      </c>
      <c r="F11" s="99"/>
      <c r="G11" s="100" t="s">
        <v>210</v>
      </c>
      <c r="H11" s="99"/>
      <c r="I11" s="100" t="s">
        <v>162</v>
      </c>
      <c r="J11" s="99"/>
      <c r="K11" s="100" t="s">
        <v>261</v>
      </c>
      <c r="L11" s="99"/>
      <c r="M11" s="100" t="s">
        <v>251</v>
      </c>
      <c r="N11" s="99"/>
      <c r="O11" s="100" t="s">
        <v>32</v>
      </c>
      <c r="P11" s="99"/>
      <c r="Q11" s="97"/>
    </row>
    <row r="12" spans="1:88" s="92" customFormat="1" ht="17.5" customHeight="1" x14ac:dyDescent="0.5">
      <c r="B12" s="93"/>
      <c r="C12" s="98"/>
      <c r="D12" s="99"/>
      <c r="E12" s="98"/>
      <c r="F12" s="99"/>
      <c r="G12" s="100"/>
      <c r="H12" s="99"/>
      <c r="I12" s="100"/>
      <c r="J12" s="99"/>
      <c r="K12" s="100"/>
      <c r="L12" s="99"/>
      <c r="M12" s="100"/>
      <c r="N12" s="99"/>
      <c r="O12" s="100"/>
      <c r="P12" s="99"/>
      <c r="Q12" s="97"/>
    </row>
    <row r="13" spans="1:88" s="92" customFormat="1" ht="17.5" customHeight="1" x14ac:dyDescent="0.5">
      <c r="B13" s="93" t="s">
        <v>4</v>
      </c>
      <c r="C13" s="98"/>
      <c r="D13" s="99"/>
      <c r="E13" s="98" t="s">
        <v>77</v>
      </c>
      <c r="F13" s="99"/>
      <c r="G13" s="100" t="s">
        <v>56</v>
      </c>
      <c r="H13" s="99"/>
      <c r="I13" s="100" t="s">
        <v>53</v>
      </c>
      <c r="J13" s="99"/>
      <c r="K13" s="100" t="s">
        <v>180</v>
      </c>
      <c r="L13" s="99"/>
      <c r="M13" s="100" t="s">
        <v>128</v>
      </c>
      <c r="N13" s="99"/>
      <c r="O13" s="100" t="s">
        <v>32</v>
      </c>
      <c r="P13" s="99"/>
      <c r="Q13" s="97"/>
    </row>
    <row r="14" spans="1:88" s="92" customFormat="1" ht="17.5" customHeight="1" x14ac:dyDescent="0.5">
      <c r="B14" s="93"/>
      <c r="C14" s="98"/>
      <c r="D14" s="99"/>
      <c r="E14" s="98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97"/>
    </row>
    <row r="15" spans="1:88" s="92" customFormat="1" ht="17.5" customHeight="1" x14ac:dyDescent="0.5">
      <c r="B15" s="93" t="s">
        <v>30</v>
      </c>
      <c r="C15" s="98"/>
      <c r="D15" s="99"/>
      <c r="E15" s="98" t="s">
        <v>38</v>
      </c>
      <c r="F15" s="99"/>
      <c r="G15" s="100" t="s">
        <v>181</v>
      </c>
      <c r="H15" s="99"/>
      <c r="I15" s="100" t="s">
        <v>38</v>
      </c>
      <c r="J15" s="99"/>
      <c r="K15" s="100" t="s">
        <v>85</v>
      </c>
      <c r="L15" s="99"/>
      <c r="M15" s="100" t="s">
        <v>38</v>
      </c>
      <c r="N15" s="99"/>
      <c r="O15" s="100" t="s">
        <v>32</v>
      </c>
      <c r="P15" s="99"/>
      <c r="Q15" s="97"/>
    </row>
    <row r="16" spans="1:88" s="92" customFormat="1" ht="17.5" customHeight="1" x14ac:dyDescent="0.5">
      <c r="B16" s="93"/>
      <c r="C16" s="98"/>
      <c r="D16" s="99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97"/>
    </row>
    <row r="17" spans="2:21" s="92" customFormat="1" ht="17.5" customHeight="1" x14ac:dyDescent="0.5">
      <c r="B17" s="93" t="s">
        <v>6</v>
      </c>
      <c r="C17" s="98"/>
      <c r="D17" s="99"/>
      <c r="E17" s="98" t="s">
        <v>66</v>
      </c>
      <c r="F17" s="99"/>
      <c r="G17" s="100" t="s">
        <v>249</v>
      </c>
      <c r="H17" s="99"/>
      <c r="I17" s="100" t="s">
        <v>204</v>
      </c>
      <c r="J17" s="99"/>
      <c r="K17" s="100" t="s">
        <v>121</v>
      </c>
      <c r="L17" s="99"/>
      <c r="M17" s="100" t="s">
        <v>82</v>
      </c>
      <c r="N17" s="99"/>
      <c r="O17" s="100" t="s">
        <v>32</v>
      </c>
      <c r="P17" s="99"/>
      <c r="Q17" s="97"/>
    </row>
    <row r="18" spans="2:21" s="92" customFormat="1" ht="17.5" customHeight="1" x14ac:dyDescent="0.5">
      <c r="B18" s="93"/>
      <c r="C18" s="98"/>
      <c r="D18" s="99"/>
      <c r="E18" s="98"/>
      <c r="F18" s="99"/>
      <c r="G18" s="100"/>
      <c r="H18" s="99"/>
      <c r="I18" s="100"/>
      <c r="J18" s="99"/>
      <c r="K18" s="100"/>
      <c r="L18" s="99"/>
      <c r="M18" s="100"/>
      <c r="N18" s="99"/>
      <c r="O18" s="100"/>
      <c r="P18" s="99"/>
      <c r="Q18" s="97"/>
    </row>
    <row r="19" spans="2:21" s="92" customFormat="1" ht="17.5" customHeight="1" x14ac:dyDescent="0.5">
      <c r="B19" s="93"/>
      <c r="C19" s="98"/>
      <c r="D19" s="99"/>
      <c r="E19" s="98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97"/>
    </row>
    <row r="20" spans="2:21" s="92" customFormat="1" ht="17.5" customHeight="1" x14ac:dyDescent="0.5">
      <c r="B20" s="101"/>
      <c r="C20" s="102"/>
      <c r="D20" s="99"/>
      <c r="E20" s="102"/>
      <c r="F20" s="99"/>
      <c r="G20" s="102"/>
      <c r="H20" s="99"/>
      <c r="I20" s="102"/>
      <c r="J20" s="99"/>
      <c r="K20" s="102"/>
      <c r="L20" s="99"/>
      <c r="M20" s="102"/>
      <c r="N20" s="99"/>
      <c r="O20" s="102"/>
      <c r="P20" s="99"/>
      <c r="Q20" s="97"/>
    </row>
    <row r="21" spans="2:21" s="51" customFormat="1" ht="18" customHeight="1" x14ac:dyDescent="0.3">
      <c r="B21" s="52"/>
      <c r="C21" s="55">
        <f>IF(DAY(FebSun1)=1,IF(AND(YEAR(FebSun1+1)=CalendarYear,MONTH(FebSun1+1)=2),FebSun1+1,""),IF(AND(YEAR(FebSun1+8)=CalendarYear,MONTH(FebSun1+8)=2),FebSun1+8,""))</f>
        <v>44599</v>
      </c>
      <c r="D21" s="91" t="s">
        <v>29</v>
      </c>
      <c r="E21" s="55">
        <f>IF(DAY(FebSun1)=1,IF(AND(YEAR(FebSun1+2)=CalendarYear,MONTH(FebSun1+2)=2),FebSun1+2,""),IF(AND(YEAR(FebSun1+9)=CalendarYear,MONTH(FebSun1+9)=2),FebSun1+9,""))</f>
        <v>44600</v>
      </c>
      <c r="F21" s="91" t="s">
        <v>29</v>
      </c>
      <c r="G21" s="56">
        <f>IF(DAY(FebSun1)=1,IF(AND(YEAR(FebSun1+3)=CalendarYear,MONTH(FebSun1+3)=2),FebSun1+3,""),IF(AND(YEAR(FebSun1+10)=CalendarYear,MONTH(FebSun1+10)=2),FebSun1+10,""))</f>
        <v>44601</v>
      </c>
      <c r="H21" s="91" t="s">
        <v>29</v>
      </c>
      <c r="I21" s="56">
        <f>IF(DAY(FebSun1)=1,IF(AND(YEAR(FebSun1+4)=CalendarYear,MONTH(FebSun1+4)=2),FebSun1+4,""),IF(AND(YEAR(FebSun1+11)=CalendarYear,MONTH(FebSun1+11)=2),FebSun1+11,""))</f>
        <v>44602</v>
      </c>
      <c r="J21" s="91" t="s">
        <v>29</v>
      </c>
      <c r="K21" s="56">
        <f>IF(DAY(FebSun1)=1,IF(AND(YEAR(FebSun1+5)=CalendarYear,MONTH(FebSun1+5)=2),FebSun1+5,""),IF(AND(YEAR(FebSun1+12)=CalendarYear,MONTH(FebSun1+12)=2),FebSun1+12,""))</f>
        <v>44603</v>
      </c>
      <c r="L21" s="91" t="s">
        <v>29</v>
      </c>
      <c r="M21" s="56">
        <f>IF(DAY(FebSun1)=1,IF(AND(YEAR(FebSun1+6)=CalendarYear,MONTH(FebSun1+6)=2),FebSun1+6,""),IF(AND(YEAR(FebSun1+13)=CalendarYear,MONTH(FebSun1+13)=2),FebSun1+13,""))</f>
        <v>44604</v>
      </c>
      <c r="N21" s="91" t="s">
        <v>29</v>
      </c>
      <c r="O21" s="56">
        <f>IF(DAY(FebSun1)=1,IF(AND(YEAR(FebSun1+7)=CalendarYear,MONTH(FebSun1+7)=2),FebSun1+7,""),IF(AND(YEAR(FebSun1+14)=CalendarYear,MONTH(FebSun1+14)=2),FebSun1+14,""))</f>
        <v>44605</v>
      </c>
      <c r="P21" s="91" t="s">
        <v>29</v>
      </c>
      <c r="Q21" s="47"/>
      <c r="T21" s="53"/>
      <c r="U21" s="54"/>
    </row>
    <row r="22" spans="2:21" s="92" customFormat="1" ht="17.5" customHeight="1" x14ac:dyDescent="0.5">
      <c r="B22" s="93" t="s">
        <v>1</v>
      </c>
      <c r="C22" s="105" t="s">
        <v>42</v>
      </c>
      <c r="D22" s="106"/>
      <c r="E22" s="105" t="s">
        <v>44</v>
      </c>
      <c r="F22" s="106"/>
      <c r="G22" s="107" t="s">
        <v>155</v>
      </c>
      <c r="H22" s="106"/>
      <c r="I22" s="107" t="s">
        <v>256</v>
      </c>
      <c r="J22" s="106"/>
      <c r="K22" s="107" t="s">
        <v>258</v>
      </c>
      <c r="L22" s="106"/>
      <c r="M22" s="107" t="s">
        <v>31</v>
      </c>
      <c r="N22" s="106"/>
      <c r="O22" s="107" t="s">
        <v>32</v>
      </c>
      <c r="P22" s="106"/>
      <c r="Q22" s="97"/>
    </row>
    <row r="23" spans="2:21" s="92" customFormat="1" ht="17.5" customHeight="1" x14ac:dyDescent="0.5">
      <c r="B23" s="93"/>
      <c r="C23" s="108"/>
      <c r="D23" s="109"/>
      <c r="E23" s="108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97"/>
    </row>
    <row r="24" spans="2:21" s="92" customFormat="1" ht="17.5" customHeight="1" x14ac:dyDescent="0.5">
      <c r="B24" s="93" t="s">
        <v>3</v>
      </c>
      <c r="C24" s="108" t="s">
        <v>252</v>
      </c>
      <c r="D24" s="109"/>
      <c r="E24" s="108" t="s">
        <v>92</v>
      </c>
      <c r="F24" s="109"/>
      <c r="G24" s="110" t="s">
        <v>255</v>
      </c>
      <c r="H24" s="109"/>
      <c r="I24" s="110" t="s">
        <v>142</v>
      </c>
      <c r="J24" s="109"/>
      <c r="K24" s="110" t="s">
        <v>259</v>
      </c>
      <c r="L24" s="109"/>
      <c r="M24" s="110" t="s">
        <v>135</v>
      </c>
      <c r="N24" s="109"/>
      <c r="O24" s="110" t="s">
        <v>32</v>
      </c>
      <c r="P24" s="109"/>
      <c r="Q24" s="97"/>
    </row>
    <row r="25" spans="2:21" s="92" customFormat="1" ht="17.5" customHeight="1" x14ac:dyDescent="0.5">
      <c r="B25" s="93"/>
      <c r="C25" s="108"/>
      <c r="D25" s="109"/>
      <c r="E25" s="108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97"/>
    </row>
    <row r="26" spans="2:21" s="92" customFormat="1" ht="17.5" customHeight="1" x14ac:dyDescent="0.5">
      <c r="B26" s="93" t="s">
        <v>4</v>
      </c>
      <c r="C26" s="108" t="s">
        <v>254</v>
      </c>
      <c r="D26" s="109"/>
      <c r="E26" s="108" t="s">
        <v>112</v>
      </c>
      <c r="F26" s="109"/>
      <c r="G26" s="110" t="s">
        <v>201</v>
      </c>
      <c r="H26" s="109"/>
      <c r="I26" s="110" t="s">
        <v>226</v>
      </c>
      <c r="J26" s="109"/>
      <c r="K26" s="110" t="s">
        <v>260</v>
      </c>
      <c r="L26" s="109"/>
      <c r="M26" s="110" t="s">
        <v>145</v>
      </c>
      <c r="N26" s="109"/>
      <c r="O26" s="110" t="s">
        <v>32</v>
      </c>
      <c r="P26" s="109"/>
      <c r="Q26" s="97"/>
    </row>
    <row r="27" spans="2:21" s="92" customFormat="1" ht="17.5" customHeight="1" x14ac:dyDescent="0.5">
      <c r="B27" s="93"/>
      <c r="C27" s="108"/>
      <c r="D27" s="109"/>
      <c r="E27" s="108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97"/>
    </row>
    <row r="28" spans="2:21" s="92" customFormat="1" ht="17.5" customHeight="1" x14ac:dyDescent="0.5">
      <c r="B28" s="93" t="s">
        <v>30</v>
      </c>
      <c r="C28" s="108" t="s">
        <v>85</v>
      </c>
      <c r="D28" s="109"/>
      <c r="E28" s="108" t="s">
        <v>40</v>
      </c>
      <c r="F28" s="109"/>
      <c r="G28" s="110" t="s">
        <v>38</v>
      </c>
      <c r="H28" s="109"/>
      <c r="I28" s="110" t="s">
        <v>99</v>
      </c>
      <c r="J28" s="109"/>
      <c r="K28" s="110" t="s">
        <v>148</v>
      </c>
      <c r="L28" s="109"/>
      <c r="M28" s="110" t="s">
        <v>38</v>
      </c>
      <c r="N28" s="109"/>
      <c r="O28" s="110" t="s">
        <v>32</v>
      </c>
      <c r="P28" s="109"/>
      <c r="Q28" s="97"/>
    </row>
    <row r="29" spans="2:21" s="92" customFormat="1" ht="17.5" customHeight="1" x14ac:dyDescent="0.5">
      <c r="B29" s="93"/>
      <c r="C29" s="108"/>
      <c r="D29" s="109"/>
      <c r="E29" s="108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97"/>
    </row>
    <row r="30" spans="2:21" s="92" customFormat="1" ht="17.5" customHeight="1" x14ac:dyDescent="0.5">
      <c r="B30" s="93" t="s">
        <v>6</v>
      </c>
      <c r="C30" s="108" t="s">
        <v>122</v>
      </c>
      <c r="D30" s="109"/>
      <c r="E30" s="108" t="s">
        <v>62</v>
      </c>
      <c r="F30" s="109"/>
      <c r="G30" s="110" t="s">
        <v>204</v>
      </c>
      <c r="H30" s="109"/>
      <c r="I30" s="110" t="s">
        <v>257</v>
      </c>
      <c r="J30" s="109"/>
      <c r="K30" s="110" t="s">
        <v>66</v>
      </c>
      <c r="L30" s="109"/>
      <c r="M30" s="110" t="s">
        <v>183</v>
      </c>
      <c r="N30" s="109"/>
      <c r="O30" s="110" t="s">
        <v>32</v>
      </c>
      <c r="P30" s="109"/>
      <c r="Q30" s="97"/>
    </row>
    <row r="31" spans="2:21" s="92" customFormat="1" ht="17.5" customHeight="1" x14ac:dyDescent="0.5">
      <c r="B31" s="93"/>
      <c r="C31" s="108"/>
      <c r="D31" s="109"/>
      <c r="E31" s="108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97"/>
    </row>
    <row r="32" spans="2:21" s="92" customFormat="1" ht="17.5" customHeight="1" x14ac:dyDescent="0.5">
      <c r="B32" s="93"/>
      <c r="C32" s="108"/>
      <c r="D32" s="109"/>
      <c r="E32" s="108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97"/>
    </row>
    <row r="33" spans="2:21" s="92" customFormat="1" ht="17.5" customHeight="1" x14ac:dyDescent="0.5">
      <c r="B33" s="101"/>
      <c r="C33" s="111"/>
      <c r="D33" s="109"/>
      <c r="E33" s="111"/>
      <c r="F33" s="109"/>
      <c r="G33" s="111"/>
      <c r="H33" s="109"/>
      <c r="I33" s="111"/>
      <c r="J33" s="109"/>
      <c r="K33" s="111"/>
      <c r="L33" s="109"/>
      <c r="M33" s="111"/>
      <c r="N33" s="109"/>
      <c r="O33" s="111"/>
      <c r="P33" s="109"/>
      <c r="Q33" s="97"/>
    </row>
    <row r="34" spans="2:21" s="51" customFormat="1" ht="18" customHeight="1" x14ac:dyDescent="0.3">
      <c r="B34" s="52"/>
      <c r="C34" s="55">
        <f>IF(DAY(FebSun1)=1,IF(AND(YEAR(FebSun1+8)=CalendarYear,MONTH(FebSun1+8)=2),FebSun1+8,""),IF(AND(YEAR(FebSun1+15)=CalendarYear,MONTH(FebSun1+15)=2),FebSun1+15,""))</f>
        <v>44606</v>
      </c>
      <c r="D34" s="91" t="s">
        <v>29</v>
      </c>
      <c r="E34" s="55">
        <f>IF(DAY(FebSun1)=1,IF(AND(YEAR(FebSun1+9)=CalendarYear,MONTH(FebSun1+9)=2),FebSun1+9,""),IF(AND(YEAR(FebSun1+16)=CalendarYear,MONTH(FebSun1+16)=2),FebSun1+16,""))</f>
        <v>44607</v>
      </c>
      <c r="F34" s="91" t="s">
        <v>29</v>
      </c>
      <c r="G34" s="56">
        <f>IF(DAY(FebSun1)=1,IF(AND(YEAR(FebSun1+10)=CalendarYear,MONTH(FebSun1+10)=2),FebSun1+10,""),IF(AND(YEAR(FebSun1+17)=CalendarYear,MONTH(FebSun1+17)=2),FebSun1+17,""))</f>
        <v>44608</v>
      </c>
      <c r="H34" s="91" t="s">
        <v>29</v>
      </c>
      <c r="I34" s="56">
        <f>IF(DAY(FebSun1)=1,IF(AND(YEAR(FebSun1+11)=CalendarYear,MONTH(FebSun1+11)=2),FebSun1+11,""),IF(AND(YEAR(FebSun1+18)=CalendarYear,MONTH(FebSun1+18)=2),FebSun1+18,""))</f>
        <v>44609</v>
      </c>
      <c r="J34" s="91" t="s">
        <v>29</v>
      </c>
      <c r="K34" s="56">
        <f>IF(DAY(FebSun1)=1,IF(AND(YEAR(FebSun1+12)=CalendarYear,MONTH(FebSun1+12)=2),FebSun1+12,""),IF(AND(YEAR(FebSun1+19)=CalendarYear,MONTH(FebSun1+19)=2),FebSun1+19,""))</f>
        <v>44610</v>
      </c>
      <c r="L34" s="91" t="s">
        <v>29</v>
      </c>
      <c r="M34" s="56">
        <f>IF(DAY(FebSun1)=1,IF(AND(YEAR(FebSun1+13)=CalendarYear,MONTH(FebSun1+13)=2),FebSun1+13,""),IF(AND(YEAR(FebSun1+20)=CalendarYear,MONTH(FebSun1+20)=2),FebSun1+20,""))</f>
        <v>44611</v>
      </c>
      <c r="N34" s="91" t="s">
        <v>29</v>
      </c>
      <c r="O34" s="56">
        <f>IF(DAY(FebSun1)=1,IF(AND(YEAR(FebSun1+14)=CalendarYear,MONTH(FebSun1+14)=2),FebSun1+14,""),IF(AND(YEAR(FebSun1+21)=CalendarYear,MONTH(FebSun1+21)=2),FebSun1+21,""))</f>
        <v>44612</v>
      </c>
      <c r="P34" s="91" t="s">
        <v>29</v>
      </c>
      <c r="Q34" s="47"/>
      <c r="T34" s="53"/>
      <c r="U34" s="54"/>
    </row>
    <row r="35" spans="2:21" s="92" customFormat="1" ht="17.5" customHeight="1" x14ac:dyDescent="0.5">
      <c r="B35" s="93" t="s">
        <v>1</v>
      </c>
      <c r="C35" s="94" t="s">
        <v>68</v>
      </c>
      <c r="D35" s="95"/>
      <c r="E35" s="94" t="s">
        <v>42</v>
      </c>
      <c r="F35" s="95"/>
      <c r="G35" s="96" t="s">
        <v>124</v>
      </c>
      <c r="H35" s="95"/>
      <c r="I35" s="96" t="s">
        <v>31</v>
      </c>
      <c r="J35" s="95"/>
      <c r="K35" s="96" t="s">
        <v>86</v>
      </c>
      <c r="L35" s="95"/>
      <c r="M35" s="96" t="s">
        <v>134</v>
      </c>
      <c r="N35" s="95"/>
      <c r="O35" s="96" t="s">
        <v>32</v>
      </c>
      <c r="P35" s="95"/>
      <c r="Q35" s="97"/>
    </row>
    <row r="36" spans="2:21" s="92" customFormat="1" ht="17.5" customHeight="1" x14ac:dyDescent="0.5">
      <c r="B36" s="93"/>
      <c r="C36" s="98"/>
      <c r="D36" s="99"/>
      <c r="E36" s="98"/>
      <c r="F36" s="99"/>
      <c r="G36" s="100"/>
      <c r="H36" s="99"/>
      <c r="I36" s="100"/>
      <c r="J36" s="99"/>
      <c r="K36" s="100"/>
      <c r="L36" s="99"/>
      <c r="M36" s="100"/>
      <c r="N36" s="99"/>
      <c r="O36" s="100"/>
      <c r="P36" s="99"/>
      <c r="Q36" s="97"/>
    </row>
    <row r="37" spans="2:21" s="92" customFormat="1" ht="17.5" customHeight="1" x14ac:dyDescent="0.5">
      <c r="B37" s="93" t="s">
        <v>3</v>
      </c>
      <c r="C37" s="98" t="s">
        <v>277</v>
      </c>
      <c r="D37" s="99"/>
      <c r="E37" s="98" t="s">
        <v>262</v>
      </c>
      <c r="F37" s="99"/>
      <c r="G37" s="100" t="s">
        <v>144</v>
      </c>
      <c r="H37" s="99"/>
      <c r="I37" s="100" t="s">
        <v>192</v>
      </c>
      <c r="J37" s="99"/>
      <c r="K37" s="100" t="s">
        <v>33</v>
      </c>
      <c r="L37" s="99"/>
      <c r="M37" s="100" t="s">
        <v>51</v>
      </c>
      <c r="N37" s="99"/>
      <c r="O37" s="100" t="s">
        <v>32</v>
      </c>
      <c r="P37" s="99"/>
      <c r="Q37" s="97"/>
    </row>
    <row r="38" spans="2:21" s="92" customFormat="1" ht="17.5" customHeight="1" x14ac:dyDescent="0.5">
      <c r="B38" s="93"/>
      <c r="C38" s="98"/>
      <c r="D38" s="99"/>
      <c r="E38" s="98"/>
      <c r="F38" s="99"/>
      <c r="G38" s="100"/>
      <c r="H38" s="99"/>
      <c r="I38" s="100"/>
      <c r="J38" s="99"/>
      <c r="K38" s="100"/>
      <c r="L38" s="99"/>
      <c r="M38" s="100"/>
      <c r="N38" s="99"/>
      <c r="O38" s="100"/>
      <c r="P38" s="99"/>
      <c r="Q38" s="97"/>
    </row>
    <row r="39" spans="2:21" s="92" customFormat="1" ht="17.5" customHeight="1" x14ac:dyDescent="0.5">
      <c r="B39" s="93" t="s">
        <v>4</v>
      </c>
      <c r="C39" s="98" t="s">
        <v>180</v>
      </c>
      <c r="D39" s="99"/>
      <c r="E39" s="98" t="s">
        <v>38</v>
      </c>
      <c r="F39" s="99"/>
      <c r="G39" s="100" t="s">
        <v>263</v>
      </c>
      <c r="H39" s="99"/>
      <c r="I39" s="100" t="s">
        <v>53</v>
      </c>
      <c r="J39" s="99"/>
      <c r="K39" s="100" t="s">
        <v>56</v>
      </c>
      <c r="L39" s="99"/>
      <c r="M39" s="100" t="s">
        <v>38</v>
      </c>
      <c r="N39" s="99"/>
      <c r="O39" s="100" t="s">
        <v>32</v>
      </c>
      <c r="P39" s="99"/>
      <c r="Q39" s="97"/>
    </row>
    <row r="40" spans="2:21" s="92" customFormat="1" ht="17.5" customHeight="1" x14ac:dyDescent="0.5">
      <c r="B40" s="93"/>
      <c r="C40" s="98"/>
      <c r="D40" s="99"/>
      <c r="E40" s="98"/>
      <c r="F40" s="99"/>
      <c r="G40" s="100"/>
      <c r="H40" s="99"/>
      <c r="I40" s="100"/>
      <c r="J40" s="99"/>
      <c r="K40" s="100"/>
      <c r="L40" s="99"/>
      <c r="M40" s="100"/>
      <c r="N40" s="99"/>
      <c r="O40" s="100"/>
      <c r="P40" s="99"/>
      <c r="Q40" s="97"/>
    </row>
    <row r="41" spans="2:21" s="92" customFormat="1" ht="17.5" customHeight="1" x14ac:dyDescent="0.5">
      <c r="B41" s="93" t="s">
        <v>30</v>
      </c>
      <c r="C41" s="98" t="s">
        <v>57</v>
      </c>
      <c r="D41" s="99"/>
      <c r="E41" s="98" t="s">
        <v>40</v>
      </c>
      <c r="F41" s="99"/>
      <c r="G41" s="100" t="s">
        <v>38</v>
      </c>
      <c r="H41" s="99"/>
      <c r="I41" s="100" t="s">
        <v>275</v>
      </c>
      <c r="J41" s="99"/>
      <c r="K41" s="100" t="s">
        <v>38</v>
      </c>
      <c r="L41" s="99"/>
      <c r="M41" s="100" t="s">
        <v>40</v>
      </c>
      <c r="N41" s="99"/>
      <c r="O41" s="100" t="s">
        <v>32</v>
      </c>
      <c r="P41" s="99"/>
      <c r="Q41" s="97"/>
    </row>
    <row r="42" spans="2:21" s="92" customFormat="1" ht="17.5" customHeight="1" x14ac:dyDescent="0.5">
      <c r="B42" s="93"/>
      <c r="C42" s="98"/>
      <c r="D42" s="99"/>
      <c r="E42" s="98"/>
      <c r="F42" s="99"/>
      <c r="G42" s="100"/>
      <c r="H42" s="99"/>
      <c r="I42" s="100"/>
      <c r="J42" s="99"/>
      <c r="K42" s="100"/>
      <c r="L42" s="99"/>
      <c r="M42" s="100"/>
      <c r="N42" s="99"/>
      <c r="O42" s="100"/>
      <c r="P42" s="99"/>
      <c r="Q42" s="97"/>
    </row>
    <row r="43" spans="2:21" s="92" customFormat="1" ht="17.5" customHeight="1" x14ac:dyDescent="0.5">
      <c r="B43" s="93" t="s">
        <v>6</v>
      </c>
      <c r="C43" s="98" t="s">
        <v>121</v>
      </c>
      <c r="D43" s="99"/>
      <c r="E43" s="98" t="s">
        <v>66</v>
      </c>
      <c r="F43" s="99"/>
      <c r="G43" s="100" t="s">
        <v>264</v>
      </c>
      <c r="H43" s="99"/>
      <c r="I43" s="100" t="s">
        <v>40</v>
      </c>
      <c r="J43" s="99"/>
      <c r="K43" s="100" t="s">
        <v>122</v>
      </c>
      <c r="L43" s="99"/>
      <c r="M43" s="100" t="s">
        <v>265</v>
      </c>
      <c r="N43" s="99"/>
      <c r="O43" s="100" t="s">
        <v>32</v>
      </c>
      <c r="P43" s="99"/>
      <c r="Q43" s="97"/>
    </row>
    <row r="44" spans="2:21" s="92" customFormat="1" ht="17.5" customHeight="1" x14ac:dyDescent="0.5">
      <c r="B44" s="93"/>
      <c r="C44" s="98"/>
      <c r="D44" s="99"/>
      <c r="E44" s="98"/>
      <c r="F44" s="99"/>
      <c r="G44" s="100"/>
      <c r="H44" s="99"/>
      <c r="I44" s="100"/>
      <c r="J44" s="99"/>
      <c r="K44" s="100"/>
      <c r="L44" s="99"/>
      <c r="M44" s="100"/>
      <c r="N44" s="99"/>
      <c r="O44" s="100"/>
      <c r="P44" s="99"/>
      <c r="Q44" s="97"/>
    </row>
    <row r="45" spans="2:21" s="92" customFormat="1" ht="17.5" customHeight="1" x14ac:dyDescent="0.5">
      <c r="B45" s="93"/>
      <c r="C45" s="98"/>
      <c r="D45" s="99"/>
      <c r="E45" s="98"/>
      <c r="F45" s="99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97"/>
    </row>
    <row r="46" spans="2:21" s="92" customFormat="1" ht="17.5" customHeight="1" x14ac:dyDescent="0.5">
      <c r="B46" s="101"/>
      <c r="C46" s="102"/>
      <c r="D46" s="99"/>
      <c r="E46" s="102"/>
      <c r="F46" s="99"/>
      <c r="G46" s="102"/>
      <c r="H46" s="99"/>
      <c r="I46" s="102"/>
      <c r="J46" s="99"/>
      <c r="K46" s="102"/>
      <c r="L46" s="99"/>
      <c r="M46" s="102"/>
      <c r="N46" s="99"/>
      <c r="O46" s="102"/>
      <c r="P46" s="99"/>
      <c r="Q46" s="97"/>
    </row>
    <row r="47" spans="2:21" s="51" customFormat="1" ht="18" customHeight="1" x14ac:dyDescent="0.3">
      <c r="B47" s="52"/>
      <c r="C47" s="55">
        <f>IF(DAY(FebSun1)=1,IF(AND(YEAR(FebSun1+15)=CalendarYear,MONTH(FebSun1+15)=2),FebSun1+15,""),IF(AND(YEAR(FebSun1+22)=CalendarYear,MONTH(FebSun1+22)=2),FebSun1+22,""))</f>
        <v>44613</v>
      </c>
      <c r="D47" s="91" t="s">
        <v>29</v>
      </c>
      <c r="E47" s="55">
        <f>IF(DAY(FebSun1)=1,IF(AND(YEAR(FebSun1+16)=CalendarYear,MONTH(FebSun1+16)=2),FebSun1+16,""),IF(AND(YEAR(FebSun1+23)=CalendarYear,MONTH(FebSun1+23)=2),FebSun1+23,""))</f>
        <v>44614</v>
      </c>
      <c r="F47" s="91" t="s">
        <v>29</v>
      </c>
      <c r="G47" s="56">
        <f>IF(DAY(FebSun1)=1,IF(AND(YEAR(FebSun1+17)=CalendarYear,MONTH(FebSun1+17)=2),FebSun1+17,""),IF(AND(YEAR(FebSun1+24)=CalendarYear,MONTH(FebSun1+24)=2),FebSun1+24,""))</f>
        <v>44615</v>
      </c>
      <c r="H47" s="91" t="s">
        <v>29</v>
      </c>
      <c r="I47" s="56">
        <f>IF(DAY(FebSun1)=1,IF(AND(YEAR(FebSun1+18)=CalendarYear,MONTH(FebSun1+18)=2),FebSun1+18,""),IF(AND(YEAR(FebSun1+25)=CalendarYear,MONTH(FebSun1+25)=2),FebSun1+25,""))</f>
        <v>44616</v>
      </c>
      <c r="J47" s="91" t="s">
        <v>29</v>
      </c>
      <c r="K47" s="56">
        <f>IF(DAY(FebSun1)=1,IF(AND(YEAR(FebSun1+19)=CalendarYear,MONTH(FebSun1+19)=2),FebSun1+19,""),IF(AND(YEAR(FebSun1+26)=CalendarYear,MONTH(FebSun1+26)=2),FebSun1+26,""))</f>
        <v>44617</v>
      </c>
      <c r="L47" s="91" t="s">
        <v>29</v>
      </c>
      <c r="M47" s="56">
        <f>IF(DAY(FebSun1)=1,IF(AND(YEAR(FebSun1+20)=CalendarYear,MONTH(FebSun1+20)=2),FebSun1+20,""),IF(AND(YEAR(FebSun1+27)=CalendarYear,MONTH(FebSun1+27)=2),FebSun1+27,""))</f>
        <v>44618</v>
      </c>
      <c r="N47" s="91" t="s">
        <v>29</v>
      </c>
      <c r="O47" s="56">
        <f>IF(DAY(FebSun1)=1,IF(AND(YEAR(FebSun1+21)=CalendarYear,MONTH(FebSun1+21)=2),FebSun1+21,""),IF(AND(YEAR(FebSun1+28)=CalendarYear,MONTH(FebSun1+28)=2),FebSun1+28,""))</f>
        <v>44619</v>
      </c>
      <c r="P47" s="91" t="s">
        <v>29</v>
      </c>
      <c r="Q47" s="47"/>
      <c r="T47" s="53"/>
      <c r="U47" s="54"/>
    </row>
    <row r="48" spans="2:21" s="92" customFormat="1" ht="17.5" customHeight="1" x14ac:dyDescent="0.5">
      <c r="B48" s="93" t="s">
        <v>1</v>
      </c>
      <c r="C48" s="105" t="s">
        <v>44</v>
      </c>
      <c r="D48" s="106"/>
      <c r="E48" s="105" t="s">
        <v>125</v>
      </c>
      <c r="F48" s="106"/>
      <c r="G48" s="107" t="s">
        <v>191</v>
      </c>
      <c r="H48" s="106"/>
      <c r="I48" s="107" t="s">
        <v>31</v>
      </c>
      <c r="J48" s="106"/>
      <c r="K48" s="107" t="s">
        <v>155</v>
      </c>
      <c r="L48" s="106"/>
      <c r="M48" s="107" t="s">
        <v>45</v>
      </c>
      <c r="N48" s="106"/>
      <c r="O48" s="107" t="s">
        <v>32</v>
      </c>
      <c r="P48" s="106"/>
      <c r="Q48" s="97"/>
    </row>
    <row r="49" spans="2:21" s="92" customFormat="1" ht="17.5" customHeight="1" x14ac:dyDescent="0.5">
      <c r="B49" s="93"/>
      <c r="C49" s="108"/>
      <c r="D49" s="109"/>
      <c r="E49" s="108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97"/>
    </row>
    <row r="50" spans="2:21" s="92" customFormat="1" ht="17.5" customHeight="1" x14ac:dyDescent="0.5">
      <c r="B50" s="93" t="s">
        <v>3</v>
      </c>
      <c r="C50" s="108" t="s">
        <v>266</v>
      </c>
      <c r="D50" s="109"/>
      <c r="E50" s="108" t="s">
        <v>274</v>
      </c>
      <c r="F50" s="109"/>
      <c r="G50" s="110" t="s">
        <v>267</v>
      </c>
      <c r="H50" s="109"/>
      <c r="I50" s="110" t="s">
        <v>269</v>
      </c>
      <c r="J50" s="109"/>
      <c r="K50" s="110" t="s">
        <v>271</v>
      </c>
      <c r="L50" s="109"/>
      <c r="M50" s="110" t="s">
        <v>272</v>
      </c>
      <c r="N50" s="109"/>
      <c r="O50" s="110" t="s">
        <v>32</v>
      </c>
      <c r="P50" s="109"/>
      <c r="Q50" s="97"/>
    </row>
    <row r="51" spans="2:21" s="92" customFormat="1" ht="17.5" customHeight="1" x14ac:dyDescent="0.5">
      <c r="B51" s="93"/>
      <c r="C51" s="108"/>
      <c r="D51" s="109"/>
      <c r="E51" s="108"/>
      <c r="F51" s="109"/>
      <c r="G51" s="110"/>
      <c r="H51" s="109"/>
      <c r="I51" s="110"/>
      <c r="J51" s="109"/>
      <c r="K51" s="110"/>
      <c r="L51" s="109"/>
      <c r="M51" s="110"/>
      <c r="N51" s="109"/>
      <c r="O51" s="110"/>
      <c r="P51" s="109"/>
      <c r="Q51" s="97"/>
    </row>
    <row r="52" spans="2:21" s="92" customFormat="1" ht="17.5" customHeight="1" x14ac:dyDescent="0.5">
      <c r="B52" s="93" t="s">
        <v>4</v>
      </c>
      <c r="C52" s="108" t="s">
        <v>201</v>
      </c>
      <c r="D52" s="109"/>
      <c r="E52" s="108" t="s">
        <v>276</v>
      </c>
      <c r="F52" s="109"/>
      <c r="G52" s="110" t="s">
        <v>268</v>
      </c>
      <c r="H52" s="109"/>
      <c r="I52" s="110" t="s">
        <v>160</v>
      </c>
      <c r="J52" s="109"/>
      <c r="K52" s="110" t="s">
        <v>147</v>
      </c>
      <c r="L52" s="109"/>
      <c r="M52" s="110" t="s">
        <v>253</v>
      </c>
      <c r="N52" s="109"/>
      <c r="O52" s="110" t="s">
        <v>32</v>
      </c>
      <c r="P52" s="109"/>
      <c r="Q52" s="97"/>
    </row>
    <row r="53" spans="2:21" s="92" customFormat="1" ht="17.5" customHeight="1" x14ac:dyDescent="0.5">
      <c r="B53" s="93"/>
      <c r="C53" s="108"/>
      <c r="D53" s="109"/>
      <c r="E53" s="108"/>
      <c r="F53" s="109"/>
      <c r="G53" s="110"/>
      <c r="H53" s="109"/>
      <c r="I53" s="110"/>
      <c r="J53" s="109"/>
      <c r="K53" s="110"/>
      <c r="L53" s="109"/>
      <c r="M53" s="110"/>
      <c r="N53" s="109"/>
      <c r="O53" s="110"/>
      <c r="P53" s="109"/>
      <c r="Q53" s="97"/>
    </row>
    <row r="54" spans="2:21" s="92" customFormat="1" ht="17.5" customHeight="1" x14ac:dyDescent="0.5">
      <c r="B54" s="93" t="s">
        <v>30</v>
      </c>
      <c r="C54" s="108" t="s">
        <v>85</v>
      </c>
      <c r="D54" s="109"/>
      <c r="E54" s="108" t="s">
        <v>79</v>
      </c>
      <c r="F54" s="109"/>
      <c r="G54" s="110" t="s">
        <v>270</v>
      </c>
      <c r="H54" s="109"/>
      <c r="I54" s="110" t="s">
        <v>38</v>
      </c>
      <c r="J54" s="109"/>
      <c r="K54" s="110" t="s">
        <v>57</v>
      </c>
      <c r="L54" s="109"/>
      <c r="M54" s="110" t="s">
        <v>38</v>
      </c>
      <c r="N54" s="109"/>
      <c r="O54" s="110" t="s">
        <v>32</v>
      </c>
      <c r="P54" s="109"/>
      <c r="Q54" s="97"/>
    </row>
    <row r="55" spans="2:21" s="92" customFormat="1" ht="17.5" customHeight="1" x14ac:dyDescent="0.5">
      <c r="B55" s="93"/>
      <c r="C55" s="108"/>
      <c r="D55" s="109"/>
      <c r="E55" s="108"/>
      <c r="F55" s="109"/>
      <c r="G55" s="110"/>
      <c r="H55" s="109"/>
      <c r="I55" s="110"/>
      <c r="J55" s="109"/>
      <c r="K55" s="110"/>
      <c r="L55" s="109"/>
      <c r="M55" s="110"/>
      <c r="N55" s="109"/>
      <c r="O55" s="110"/>
      <c r="P55" s="109"/>
      <c r="Q55" s="97"/>
    </row>
    <row r="56" spans="2:21" s="92" customFormat="1" ht="17.5" customHeight="1" x14ac:dyDescent="0.5">
      <c r="B56" s="93" t="s">
        <v>6</v>
      </c>
      <c r="C56" s="108" t="s">
        <v>84</v>
      </c>
      <c r="D56" s="109"/>
      <c r="E56" s="108" t="s">
        <v>257</v>
      </c>
      <c r="F56" s="109"/>
      <c r="G56" s="110" t="s">
        <v>121</v>
      </c>
      <c r="H56" s="109"/>
      <c r="I56" s="110" t="s">
        <v>66</v>
      </c>
      <c r="J56" s="109"/>
      <c r="K56" s="110" t="s">
        <v>62</v>
      </c>
      <c r="L56" s="109"/>
      <c r="M56" s="110" t="s">
        <v>40</v>
      </c>
      <c r="N56" s="109"/>
      <c r="O56" s="110" t="s">
        <v>32</v>
      </c>
      <c r="P56" s="109"/>
      <c r="Q56" s="97"/>
    </row>
    <row r="57" spans="2:21" s="92" customFormat="1" ht="17.5" customHeight="1" x14ac:dyDescent="0.5">
      <c r="B57" s="93"/>
      <c r="C57" s="108"/>
      <c r="D57" s="109"/>
      <c r="E57" s="108"/>
      <c r="F57" s="109"/>
      <c r="G57" s="110"/>
      <c r="H57" s="109"/>
      <c r="I57" s="110"/>
      <c r="J57" s="109"/>
      <c r="K57" s="110"/>
      <c r="L57" s="109"/>
      <c r="M57" s="110"/>
      <c r="N57" s="109"/>
      <c r="O57" s="110"/>
      <c r="P57" s="109"/>
      <c r="Q57" s="97"/>
    </row>
    <row r="58" spans="2:21" s="92" customFormat="1" ht="17.5" customHeight="1" x14ac:dyDescent="0.5">
      <c r="B58" s="93"/>
      <c r="C58" s="108"/>
      <c r="D58" s="109"/>
      <c r="E58" s="108"/>
      <c r="F58" s="109"/>
      <c r="G58" s="110"/>
      <c r="H58" s="109"/>
      <c r="I58" s="110"/>
      <c r="J58" s="109"/>
      <c r="K58" s="110"/>
      <c r="L58" s="109"/>
      <c r="M58" s="110"/>
      <c r="N58" s="109"/>
      <c r="O58" s="110"/>
      <c r="P58" s="109"/>
      <c r="Q58" s="97"/>
    </row>
    <row r="59" spans="2:21" s="92" customFormat="1" ht="17.5" customHeight="1" x14ac:dyDescent="0.5">
      <c r="B59" s="101"/>
      <c r="C59" s="111"/>
      <c r="D59" s="109"/>
      <c r="E59" s="111"/>
      <c r="F59" s="109"/>
      <c r="G59" s="111"/>
      <c r="H59" s="109"/>
      <c r="I59" s="111"/>
      <c r="J59" s="109"/>
      <c r="K59" s="111"/>
      <c r="L59" s="109"/>
      <c r="M59" s="111"/>
      <c r="N59" s="109"/>
      <c r="O59" s="111"/>
      <c r="P59" s="109"/>
      <c r="Q59" s="97"/>
    </row>
    <row r="60" spans="2:21" s="51" customFormat="1" ht="18" customHeight="1" x14ac:dyDescent="0.3">
      <c r="B60" s="52"/>
      <c r="C60" s="55">
        <f>IF(DAY(FebSun1)=1,IF(AND(YEAR(FebSun1+22)=CalendarYear,MONTH(FebSun1+22)=2),FebSun1+22,""),IF(AND(YEAR(FebSun1+29)=CalendarYear,MONTH(FebSun1+29)=2),FebSun1+29,""))</f>
        <v>44620</v>
      </c>
      <c r="D60" s="91" t="s">
        <v>29</v>
      </c>
      <c r="E60" s="55" t="str">
        <f>IF(DAY(FebSun1)=1,IF(AND(YEAR(FebSun1+23)=CalendarYear,MONTH(FebSun1+23)=2),FebSun1+23,""),IF(AND(YEAR(FebSun1+30)=CalendarYear,MONTH(FebSun1+30)=2),FebSun1+30,""))</f>
        <v/>
      </c>
      <c r="F60" s="91" t="s">
        <v>29</v>
      </c>
      <c r="G60" s="56" t="str">
        <f>IF(DAY(FebSun1)=1,IF(AND(YEAR(FebSun1+24)=CalendarYear,MONTH(FebSun1+24)=2),FebSun1+24,""),IF(AND(YEAR(FebSun1+31)=CalendarYear,MONTH(FebSun1+31)=2),FebSun1+31,""))</f>
        <v/>
      </c>
      <c r="H60" s="91" t="s">
        <v>29</v>
      </c>
      <c r="I60" s="56" t="str">
        <f>IF(DAY(FebSun1)=1,IF(AND(YEAR(FebSun1+25)=CalendarYear,MONTH(FebSun1+25)=2),FebSun1+25,""),IF(AND(YEAR(FebSun1+32)=CalendarYear,MONTH(FebSun1+32)=2),FebSun1+32,""))</f>
        <v/>
      </c>
      <c r="J60" s="91" t="s">
        <v>29</v>
      </c>
      <c r="K60" s="56" t="str">
        <f>IF(DAY(FebSun1)=1,IF(AND(YEAR(FebSun1+26)=CalendarYear,MONTH(FebSun1+26)=2),FebSun1+26,""),IF(AND(YEAR(FebSun1+33)=CalendarYear,MONTH(FebSun1+33)=2),FebSun1+33,""))</f>
        <v/>
      </c>
      <c r="L60" s="91" t="s">
        <v>29</v>
      </c>
      <c r="M60" s="56" t="str">
        <f>IF(DAY(FebSun1)=1,IF(AND(YEAR(FebSun1+27)=CalendarYear,MONTH(FebSun1+27)=2),FebSun1+27,""),IF(AND(YEAR(FebSun1+34)=CalendarYear,MONTH(FebSun1+34)=2),FebSun1+34,""))</f>
        <v/>
      </c>
      <c r="N60" s="91" t="s">
        <v>29</v>
      </c>
      <c r="O60" s="56" t="str">
        <f>IF(DAY(FebSun1)=1,IF(AND(YEAR(FebSun1+28)=CalendarYear,MONTH(FebSun1+28)=2),FebSun1+28,""),IF(AND(YEAR(FebSun1+35)=CalendarYear,MONTH(FebSun1+35)=2),FebSun1+35,""))</f>
        <v/>
      </c>
      <c r="P60" s="91" t="s">
        <v>29</v>
      </c>
      <c r="Q60" s="47"/>
      <c r="T60" s="53"/>
      <c r="U60" s="54"/>
    </row>
    <row r="61" spans="2:21" s="92" customFormat="1" ht="17.5" customHeight="1" x14ac:dyDescent="0.5">
      <c r="B61" s="93" t="s">
        <v>1</v>
      </c>
      <c r="C61" s="94" t="s">
        <v>273</v>
      </c>
      <c r="D61" s="95"/>
      <c r="E61" s="94"/>
      <c r="F61" s="95"/>
      <c r="G61" s="96"/>
      <c r="H61" s="95"/>
      <c r="I61" s="96"/>
      <c r="J61" s="95"/>
      <c r="K61" s="96"/>
      <c r="L61" s="95"/>
      <c r="M61" s="96"/>
      <c r="N61" s="95"/>
      <c r="O61" s="96"/>
      <c r="P61" s="95"/>
      <c r="Q61" s="97"/>
    </row>
    <row r="62" spans="2:21" s="92" customFormat="1" ht="17.5" customHeight="1" x14ac:dyDescent="0.5">
      <c r="B62" s="93"/>
      <c r="C62" s="98"/>
      <c r="D62" s="99"/>
      <c r="E62" s="98"/>
      <c r="F62" s="99"/>
      <c r="G62" s="100"/>
      <c r="H62" s="99"/>
      <c r="I62" s="100"/>
      <c r="J62" s="99"/>
      <c r="K62" s="100"/>
      <c r="L62" s="99"/>
      <c r="M62" s="100"/>
      <c r="N62" s="99"/>
      <c r="O62" s="100"/>
      <c r="P62" s="99"/>
      <c r="Q62" s="97"/>
    </row>
    <row r="63" spans="2:21" s="92" customFormat="1" ht="17.5" customHeight="1" x14ac:dyDescent="0.5">
      <c r="B63" s="93" t="s">
        <v>3</v>
      </c>
      <c r="C63" s="98" t="s">
        <v>250</v>
      </c>
      <c r="D63" s="99"/>
      <c r="E63" s="98"/>
      <c r="F63" s="99"/>
      <c r="G63" s="100"/>
      <c r="H63" s="99"/>
      <c r="I63" s="100"/>
      <c r="J63" s="99"/>
      <c r="K63" s="100"/>
      <c r="L63" s="99"/>
      <c r="M63" s="100"/>
      <c r="N63" s="99"/>
      <c r="O63" s="100"/>
      <c r="P63" s="99"/>
      <c r="Q63" s="97"/>
    </row>
    <row r="64" spans="2:21" s="92" customFormat="1" ht="17.5" customHeight="1" x14ac:dyDescent="0.5">
      <c r="B64" s="93"/>
      <c r="C64" s="98"/>
      <c r="D64" s="99"/>
      <c r="E64" s="98"/>
      <c r="F64" s="99"/>
      <c r="G64" s="100"/>
      <c r="H64" s="99"/>
      <c r="I64" s="100"/>
      <c r="J64" s="99"/>
      <c r="K64" s="100"/>
      <c r="L64" s="99"/>
      <c r="M64" s="100"/>
      <c r="N64" s="99"/>
      <c r="O64" s="100"/>
      <c r="P64" s="99"/>
      <c r="Q64" s="97"/>
    </row>
    <row r="65" spans="1:21" s="92" customFormat="1" ht="17.5" customHeight="1" x14ac:dyDescent="0.5">
      <c r="B65" s="93" t="s">
        <v>4</v>
      </c>
      <c r="C65" s="98" t="s">
        <v>96</v>
      </c>
      <c r="D65" s="99"/>
      <c r="E65" s="98"/>
      <c r="F65" s="99"/>
      <c r="G65" s="100"/>
      <c r="H65" s="99"/>
      <c r="I65" s="100"/>
      <c r="J65" s="99"/>
      <c r="K65" s="100"/>
      <c r="L65" s="99"/>
      <c r="M65" s="100"/>
      <c r="N65" s="99"/>
      <c r="O65" s="100"/>
      <c r="P65" s="99"/>
      <c r="Q65" s="97"/>
    </row>
    <row r="66" spans="1:21" s="92" customFormat="1" ht="17.5" customHeight="1" x14ac:dyDescent="0.5">
      <c r="B66" s="93"/>
      <c r="C66" s="98"/>
      <c r="D66" s="99"/>
      <c r="E66" s="98"/>
      <c r="F66" s="99"/>
      <c r="G66" s="100"/>
      <c r="H66" s="99"/>
      <c r="I66" s="100"/>
      <c r="J66" s="99"/>
      <c r="K66" s="100"/>
      <c r="L66" s="99"/>
      <c r="M66" s="100"/>
      <c r="N66" s="99"/>
      <c r="O66" s="100"/>
      <c r="P66" s="99"/>
      <c r="Q66" s="97"/>
    </row>
    <row r="67" spans="1:21" s="92" customFormat="1" ht="17.5" customHeight="1" x14ac:dyDescent="0.5">
      <c r="B67" s="93" t="s">
        <v>30</v>
      </c>
      <c r="C67" s="98" t="s">
        <v>57</v>
      </c>
      <c r="D67" s="99"/>
      <c r="E67" s="98"/>
      <c r="F67" s="99"/>
      <c r="G67" s="100"/>
      <c r="H67" s="99"/>
      <c r="I67" s="100"/>
      <c r="J67" s="99"/>
      <c r="K67" s="100"/>
      <c r="L67" s="99"/>
      <c r="M67" s="100"/>
      <c r="N67" s="99"/>
      <c r="O67" s="100"/>
      <c r="P67" s="99"/>
      <c r="Q67" s="97"/>
    </row>
    <row r="68" spans="1:21" s="92" customFormat="1" ht="17.5" customHeight="1" x14ac:dyDescent="0.5">
      <c r="B68" s="93"/>
      <c r="C68" s="98"/>
      <c r="D68" s="99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97"/>
    </row>
    <row r="69" spans="1:21" s="92" customFormat="1" ht="17.5" customHeight="1" x14ac:dyDescent="0.5">
      <c r="B69" s="93" t="s">
        <v>6</v>
      </c>
      <c r="C69" s="98" t="s">
        <v>40</v>
      </c>
      <c r="D69" s="99"/>
      <c r="E69" s="98"/>
      <c r="F69" s="99"/>
      <c r="G69" s="100"/>
      <c r="H69" s="99"/>
      <c r="I69" s="100"/>
      <c r="J69" s="99"/>
      <c r="K69" s="100"/>
      <c r="L69" s="99"/>
      <c r="M69" s="100"/>
      <c r="N69" s="99"/>
      <c r="O69" s="100"/>
      <c r="P69" s="99"/>
      <c r="Q69" s="97"/>
    </row>
    <row r="70" spans="1:21" s="92" customFormat="1" ht="17.5" customHeight="1" x14ac:dyDescent="0.5">
      <c r="B70" s="93"/>
      <c r="C70" s="98"/>
      <c r="D70" s="99"/>
      <c r="E70" s="98"/>
      <c r="F70" s="99"/>
      <c r="G70" s="100"/>
      <c r="H70" s="99"/>
      <c r="I70" s="100"/>
      <c r="J70" s="99"/>
      <c r="K70" s="100"/>
      <c r="L70" s="99"/>
      <c r="M70" s="100"/>
      <c r="N70" s="99"/>
      <c r="O70" s="100"/>
      <c r="P70" s="99"/>
      <c r="Q70" s="97"/>
    </row>
    <row r="71" spans="1:21" s="92" customFormat="1" ht="17.5" customHeight="1" x14ac:dyDescent="0.5">
      <c r="B71" s="93"/>
      <c r="C71" s="98"/>
      <c r="D71" s="99"/>
      <c r="E71" s="98"/>
      <c r="F71" s="99"/>
      <c r="G71" s="100"/>
      <c r="H71" s="99"/>
      <c r="I71" s="100"/>
      <c r="J71" s="99"/>
      <c r="K71" s="100"/>
      <c r="L71" s="99"/>
      <c r="M71" s="100"/>
      <c r="N71" s="99"/>
      <c r="O71" s="100"/>
      <c r="P71" s="99"/>
      <c r="Q71" s="97"/>
    </row>
    <row r="72" spans="1:21" s="92" customFormat="1" ht="17.5" customHeight="1" x14ac:dyDescent="0.5">
      <c r="B72" s="101"/>
      <c r="C72" s="102"/>
      <c r="D72" s="99"/>
      <c r="E72" s="102"/>
      <c r="F72" s="99"/>
      <c r="G72" s="102"/>
      <c r="H72" s="99"/>
      <c r="I72" s="102"/>
      <c r="J72" s="99"/>
      <c r="K72" s="102"/>
      <c r="L72" s="99"/>
      <c r="M72" s="102"/>
      <c r="N72" s="99"/>
      <c r="O72" s="102"/>
      <c r="P72" s="99"/>
      <c r="Q72" s="97"/>
    </row>
    <row r="73" spans="1:21" s="89" customFormat="1" ht="18" customHeight="1" x14ac:dyDescent="0.4">
      <c r="A73" s="51"/>
      <c r="B73" s="52"/>
      <c r="C73" s="55" t="str">
        <f>IF(DAY(FebSun1)=1,IF(AND(YEAR(FebSun1+29)=CalendarYear,MONTH(FebSun1+29)=2),FebSun1+29,""),IF(AND(YEAR(FebSun1+36)=CalendarYear,MONTH(FebSun1+36)=2),FebSun1+36,""))</f>
        <v/>
      </c>
      <c r="D73" s="91" t="s">
        <v>29</v>
      </c>
      <c r="E73" s="55" t="str">
        <f>IF(DAY(FebSun1)=1,IF(AND(YEAR(FebSun1+30)=CalendarYear,MONTH(FebSun1+30)=2),FebSun1+30,""),IF(AND(YEAR(FebSun1+37)=CalendarYear,MONTH(FebSun1+37)=2),FebSun1+37,""))</f>
        <v/>
      </c>
      <c r="F73" s="91" t="s">
        <v>29</v>
      </c>
      <c r="G73" s="56" t="s">
        <v>14</v>
      </c>
      <c r="H73" s="114"/>
      <c r="I73" s="115"/>
      <c r="J73" s="114"/>
      <c r="K73" s="115"/>
      <c r="L73" s="114"/>
      <c r="M73" s="115"/>
      <c r="N73" s="114"/>
      <c r="O73" s="115"/>
      <c r="P73" s="114"/>
      <c r="Q73" s="97"/>
      <c r="T73" s="92"/>
      <c r="U73" s="76"/>
    </row>
    <row r="74" spans="1:21" s="92" customFormat="1" ht="17.5" customHeight="1" x14ac:dyDescent="0.5">
      <c r="B74" s="93" t="s">
        <v>1</v>
      </c>
      <c r="C74" s="105"/>
      <c r="D74" s="106"/>
      <c r="E74" s="105"/>
      <c r="F74" s="106"/>
      <c r="G74" s="261" t="s">
        <v>247</v>
      </c>
      <c r="H74" s="262"/>
      <c r="I74" s="262"/>
      <c r="J74" s="262"/>
      <c r="K74" s="262"/>
      <c r="L74" s="262"/>
      <c r="M74" s="262"/>
      <c r="N74" s="262"/>
      <c r="O74" s="262"/>
      <c r="P74" s="263"/>
      <c r="Q74" s="97"/>
    </row>
    <row r="75" spans="1:21" s="92" customFormat="1" ht="17.5" customHeight="1" x14ac:dyDescent="0.5">
      <c r="B75" s="93"/>
      <c r="C75" s="108"/>
      <c r="D75" s="109"/>
      <c r="E75" s="108"/>
      <c r="F75" s="109"/>
      <c r="G75" s="264"/>
      <c r="H75" s="265"/>
      <c r="I75" s="265"/>
      <c r="J75" s="265"/>
      <c r="K75" s="265"/>
      <c r="L75" s="265"/>
      <c r="M75" s="265"/>
      <c r="N75" s="265"/>
      <c r="O75" s="265"/>
      <c r="P75" s="266"/>
      <c r="Q75" s="97"/>
    </row>
    <row r="76" spans="1:21" s="92" customFormat="1" ht="17.5" customHeight="1" x14ac:dyDescent="0.5">
      <c r="B76" s="93" t="s">
        <v>3</v>
      </c>
      <c r="C76" s="108"/>
      <c r="D76" s="109"/>
      <c r="E76" s="108"/>
      <c r="F76" s="109"/>
      <c r="G76" s="264"/>
      <c r="H76" s="265"/>
      <c r="I76" s="265"/>
      <c r="J76" s="265"/>
      <c r="K76" s="265"/>
      <c r="L76" s="265"/>
      <c r="M76" s="265"/>
      <c r="N76" s="265"/>
      <c r="O76" s="265"/>
      <c r="P76" s="266"/>
      <c r="Q76" s="97"/>
    </row>
    <row r="77" spans="1:21" s="92" customFormat="1" ht="17.5" customHeight="1" x14ac:dyDescent="0.5">
      <c r="B77" s="93"/>
      <c r="C77" s="108"/>
      <c r="D77" s="109"/>
      <c r="E77" s="108"/>
      <c r="F77" s="109"/>
      <c r="G77" s="264"/>
      <c r="H77" s="265"/>
      <c r="I77" s="265"/>
      <c r="J77" s="265"/>
      <c r="K77" s="265"/>
      <c r="L77" s="265"/>
      <c r="M77" s="265"/>
      <c r="N77" s="265"/>
      <c r="O77" s="265"/>
      <c r="P77" s="266"/>
      <c r="Q77" s="97"/>
    </row>
    <row r="78" spans="1:21" s="92" customFormat="1" ht="17.5" customHeight="1" x14ac:dyDescent="0.5">
      <c r="B78" s="93" t="s">
        <v>4</v>
      </c>
      <c r="C78" s="108"/>
      <c r="D78" s="109"/>
      <c r="E78" s="108"/>
      <c r="F78" s="109"/>
      <c r="G78" s="264"/>
      <c r="H78" s="265"/>
      <c r="I78" s="265"/>
      <c r="J78" s="265"/>
      <c r="K78" s="265"/>
      <c r="L78" s="265"/>
      <c r="M78" s="265"/>
      <c r="N78" s="265"/>
      <c r="O78" s="265"/>
      <c r="P78" s="266"/>
      <c r="Q78" s="97"/>
    </row>
    <row r="79" spans="1:21" s="92" customFormat="1" ht="17.5" customHeight="1" x14ac:dyDescent="0.5">
      <c r="B79" s="93"/>
      <c r="C79" s="108"/>
      <c r="D79" s="109"/>
      <c r="E79" s="108"/>
      <c r="F79" s="109"/>
      <c r="G79" s="264"/>
      <c r="H79" s="265"/>
      <c r="I79" s="265"/>
      <c r="J79" s="265"/>
      <c r="K79" s="265"/>
      <c r="L79" s="265"/>
      <c r="M79" s="265"/>
      <c r="N79" s="265"/>
      <c r="O79" s="265"/>
      <c r="P79" s="266"/>
      <c r="Q79" s="97"/>
    </row>
    <row r="80" spans="1:21" s="92" customFormat="1" ht="17.5" customHeight="1" x14ac:dyDescent="0.5">
      <c r="B80" s="93" t="s">
        <v>30</v>
      </c>
      <c r="C80" s="108"/>
      <c r="D80" s="109"/>
      <c r="E80" s="108"/>
      <c r="F80" s="109"/>
      <c r="G80" s="264"/>
      <c r="H80" s="265"/>
      <c r="I80" s="265"/>
      <c r="J80" s="265"/>
      <c r="K80" s="265"/>
      <c r="L80" s="265"/>
      <c r="M80" s="265"/>
      <c r="N80" s="265"/>
      <c r="O80" s="265"/>
      <c r="P80" s="266"/>
      <c r="Q80" s="97"/>
    </row>
    <row r="81" spans="1:17" s="92" customFormat="1" ht="17.5" customHeight="1" x14ac:dyDescent="0.5">
      <c r="B81" s="93"/>
      <c r="C81" s="108"/>
      <c r="D81" s="109"/>
      <c r="E81" s="108"/>
      <c r="F81" s="109"/>
      <c r="G81" s="264"/>
      <c r="H81" s="265"/>
      <c r="I81" s="265"/>
      <c r="J81" s="265"/>
      <c r="K81" s="265"/>
      <c r="L81" s="265"/>
      <c r="M81" s="265"/>
      <c r="N81" s="265"/>
      <c r="O81" s="265"/>
      <c r="P81" s="266"/>
      <c r="Q81" s="97"/>
    </row>
    <row r="82" spans="1:17" s="92" customFormat="1" ht="17.5" customHeight="1" x14ac:dyDescent="0.5">
      <c r="B82" s="93" t="s">
        <v>6</v>
      </c>
      <c r="C82" s="108"/>
      <c r="D82" s="109"/>
      <c r="E82" s="108"/>
      <c r="F82" s="109"/>
      <c r="G82" s="264"/>
      <c r="H82" s="265"/>
      <c r="I82" s="265"/>
      <c r="J82" s="265"/>
      <c r="K82" s="265"/>
      <c r="L82" s="265"/>
      <c r="M82" s="265"/>
      <c r="N82" s="265"/>
      <c r="O82" s="265"/>
      <c r="P82" s="266"/>
      <c r="Q82" s="97"/>
    </row>
    <row r="83" spans="1:17" s="92" customFormat="1" ht="17.5" customHeight="1" x14ac:dyDescent="0.5">
      <c r="B83" s="93"/>
      <c r="C83" s="108"/>
      <c r="D83" s="109"/>
      <c r="E83" s="108"/>
      <c r="F83" s="109"/>
      <c r="G83" s="264"/>
      <c r="H83" s="265"/>
      <c r="I83" s="265"/>
      <c r="J83" s="265"/>
      <c r="K83" s="265"/>
      <c r="L83" s="265"/>
      <c r="M83" s="265"/>
      <c r="N83" s="265"/>
      <c r="O83" s="265"/>
      <c r="P83" s="266"/>
      <c r="Q83" s="97"/>
    </row>
    <row r="84" spans="1:17" s="92" customFormat="1" ht="17.5" customHeight="1" x14ac:dyDescent="0.5">
      <c r="B84" s="93"/>
      <c r="C84" s="108"/>
      <c r="D84" s="109"/>
      <c r="E84" s="108"/>
      <c r="F84" s="109"/>
      <c r="G84" s="264"/>
      <c r="H84" s="265"/>
      <c r="I84" s="265"/>
      <c r="J84" s="265"/>
      <c r="K84" s="265"/>
      <c r="L84" s="265"/>
      <c r="M84" s="265"/>
      <c r="N84" s="265"/>
      <c r="O84" s="265"/>
      <c r="P84" s="266"/>
      <c r="Q84" s="97"/>
    </row>
    <row r="85" spans="1:17" s="92" customFormat="1" ht="17.5" customHeight="1" x14ac:dyDescent="0.5">
      <c r="B85" s="101"/>
      <c r="C85" s="111"/>
      <c r="D85" s="112"/>
      <c r="E85" s="111"/>
      <c r="F85" s="112"/>
      <c r="G85" s="267"/>
      <c r="H85" s="268"/>
      <c r="I85" s="268"/>
      <c r="J85" s="268"/>
      <c r="K85" s="268"/>
      <c r="L85" s="268"/>
      <c r="M85" s="268"/>
      <c r="N85" s="268"/>
      <c r="O85" s="268"/>
      <c r="P85" s="269"/>
      <c r="Q85" s="97"/>
    </row>
    <row r="86" spans="1:17" ht="22.75" customHeight="1" x14ac:dyDescent="0.4">
      <c r="B86" s="271" t="s">
        <v>27</v>
      </c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</row>
    <row r="87" spans="1:17" ht="22.75" customHeight="1" x14ac:dyDescent="0.4">
      <c r="A87" s="92"/>
      <c r="B87" s="270" t="s">
        <v>28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</row>
    <row r="88" spans="1:17" ht="20.5" x14ac:dyDescent="0.4">
      <c r="A88" s="92"/>
    </row>
    <row r="89" spans="1:17" ht="20.5" x14ac:dyDescent="0.4">
      <c r="A89" s="92"/>
    </row>
    <row r="90" spans="1:17" ht="21" customHeight="1" x14ac:dyDescent="0.4">
      <c r="A90" s="92"/>
      <c r="E90" s="116"/>
      <c r="F90" s="117"/>
      <c r="G90" s="118"/>
      <c r="H90" s="119"/>
      <c r="I90" s="120"/>
      <c r="J90" s="121"/>
    </row>
    <row r="91" spans="1:17" ht="19.5" customHeight="1" x14ac:dyDescent="0.4">
      <c r="A91" s="92"/>
    </row>
    <row r="92" spans="1:17" x14ac:dyDescent="0.4">
      <c r="A92" s="89"/>
    </row>
    <row r="93" spans="1:17" ht="20.5" x14ac:dyDescent="0.4">
      <c r="A93" s="92"/>
    </row>
    <row r="94" spans="1:17" ht="20.5" x14ac:dyDescent="0.4">
      <c r="A94" s="92"/>
    </row>
    <row r="95" spans="1:17" ht="20.5" x14ac:dyDescent="0.4">
      <c r="A95" s="92"/>
    </row>
    <row r="96" spans="1:17" ht="20.5" x14ac:dyDescent="0.4">
      <c r="A96" s="92"/>
    </row>
    <row r="97" spans="1:1" ht="20.5" x14ac:dyDescent="0.4">
      <c r="A97" s="92"/>
    </row>
    <row r="98" spans="1:1" ht="20.5" x14ac:dyDescent="0.4">
      <c r="A98" s="92"/>
    </row>
    <row r="99" spans="1:1" ht="20.5" x14ac:dyDescent="0.4">
      <c r="A99" s="92"/>
    </row>
    <row r="100" spans="1:1" ht="20.5" x14ac:dyDescent="0.4">
      <c r="A100" s="92"/>
    </row>
    <row r="101" spans="1:1" ht="20.5" x14ac:dyDescent="0.4">
      <c r="A101" s="92"/>
    </row>
    <row r="102" spans="1:1" ht="20.5" x14ac:dyDescent="0.4">
      <c r="A102" s="92"/>
    </row>
    <row r="103" spans="1:1" ht="20.5" x14ac:dyDescent="0.4">
      <c r="A103" s="92"/>
    </row>
    <row r="104" spans="1:1" ht="20.5" x14ac:dyDescent="0.4">
      <c r="A104" s="92"/>
    </row>
    <row r="105" spans="1:1" x14ac:dyDescent="0.4">
      <c r="A105" s="89"/>
    </row>
    <row r="106" spans="1:1" ht="20.5" x14ac:dyDescent="0.4">
      <c r="A106" s="92"/>
    </row>
    <row r="107" spans="1:1" ht="20.5" x14ac:dyDescent="0.4">
      <c r="A107" s="92"/>
    </row>
    <row r="108" spans="1:1" ht="20.5" x14ac:dyDescent="0.4">
      <c r="A108" s="92"/>
    </row>
    <row r="109" spans="1:1" ht="20.5" x14ac:dyDescent="0.4">
      <c r="A109" s="92"/>
    </row>
    <row r="110" spans="1:1" ht="20.5" x14ac:dyDescent="0.4">
      <c r="A110" s="92"/>
    </row>
    <row r="111" spans="1:1" ht="20.5" x14ac:dyDescent="0.4">
      <c r="A111" s="92"/>
    </row>
    <row r="112" spans="1:1" ht="20.5" x14ac:dyDescent="0.4">
      <c r="A112" s="92"/>
    </row>
    <row r="113" spans="1:1" ht="20.5" x14ac:dyDescent="0.4">
      <c r="A113" s="92"/>
    </row>
    <row r="114" spans="1:1" ht="20.5" x14ac:dyDescent="0.4">
      <c r="A114" s="92"/>
    </row>
    <row r="115" spans="1:1" ht="20.5" x14ac:dyDescent="0.4">
      <c r="A115" s="92"/>
    </row>
    <row r="116" spans="1:1" ht="20.5" x14ac:dyDescent="0.4">
      <c r="A116" s="92"/>
    </row>
    <row r="117" spans="1:1" ht="20.5" x14ac:dyDescent="0.4">
      <c r="A117" s="92"/>
    </row>
    <row r="118" spans="1:1" x14ac:dyDescent="0.4">
      <c r="A118" s="89"/>
    </row>
    <row r="119" spans="1:1" ht="20.5" x14ac:dyDescent="0.4">
      <c r="A119" s="92"/>
    </row>
    <row r="120" spans="1:1" ht="20.5" x14ac:dyDescent="0.4">
      <c r="A120" s="92"/>
    </row>
    <row r="121" spans="1:1" ht="20.5" x14ac:dyDescent="0.4">
      <c r="A121" s="92"/>
    </row>
    <row r="122" spans="1:1" ht="20.5" x14ac:dyDescent="0.4">
      <c r="A122" s="92"/>
    </row>
    <row r="123" spans="1:1" ht="20.5" x14ac:dyDescent="0.4">
      <c r="A123" s="92"/>
    </row>
    <row r="124" spans="1:1" ht="20.5" x14ac:dyDescent="0.4">
      <c r="A124" s="92"/>
    </row>
    <row r="125" spans="1:1" ht="20.5" x14ac:dyDescent="0.4">
      <c r="A125" s="92"/>
    </row>
    <row r="126" spans="1:1" ht="20.5" x14ac:dyDescent="0.4">
      <c r="A126" s="92"/>
    </row>
    <row r="127" spans="1:1" ht="20.5" x14ac:dyDescent="0.4">
      <c r="A127" s="92"/>
    </row>
    <row r="128" spans="1:1" ht="20.5" x14ac:dyDescent="0.4">
      <c r="A128" s="92"/>
    </row>
    <row r="129" spans="1:1" ht="20.5" x14ac:dyDescent="0.4">
      <c r="A129" s="92"/>
    </row>
    <row r="130" spans="1:1" ht="20.5" x14ac:dyDescent="0.4">
      <c r="A130" s="92"/>
    </row>
    <row r="131" spans="1:1" x14ac:dyDescent="0.4">
      <c r="A131" s="89"/>
    </row>
    <row r="132" spans="1:1" ht="20.5" x14ac:dyDescent="0.4">
      <c r="A132" s="92"/>
    </row>
    <row r="133" spans="1:1" ht="20.5" x14ac:dyDescent="0.4">
      <c r="A133" s="92"/>
    </row>
    <row r="134" spans="1:1" ht="20.5" x14ac:dyDescent="0.4">
      <c r="A134" s="92"/>
    </row>
    <row r="135" spans="1:1" ht="20.5" x14ac:dyDescent="0.4">
      <c r="A135" s="92"/>
    </row>
    <row r="136" spans="1:1" ht="20.5" x14ac:dyDescent="0.4">
      <c r="A136" s="92"/>
    </row>
    <row r="137" spans="1:1" ht="20.5" x14ac:dyDescent="0.4">
      <c r="A137" s="92"/>
    </row>
    <row r="138" spans="1:1" ht="20.5" x14ac:dyDescent="0.4">
      <c r="A138" s="92"/>
    </row>
    <row r="139" spans="1:1" ht="20.5" x14ac:dyDescent="0.4">
      <c r="A139" s="92"/>
    </row>
    <row r="140" spans="1:1" ht="20.5" x14ac:dyDescent="0.4">
      <c r="A140" s="92"/>
    </row>
    <row r="141" spans="1:1" ht="20.5" x14ac:dyDescent="0.4">
      <c r="A141" s="92"/>
    </row>
    <row r="142" spans="1:1" ht="20.5" x14ac:dyDescent="0.4">
      <c r="A142" s="92"/>
    </row>
    <row r="143" spans="1:1" ht="20.5" x14ac:dyDescent="0.4">
      <c r="A143" s="92"/>
    </row>
    <row r="144" spans="1:1" x14ac:dyDescent="0.4">
      <c r="A144" s="89"/>
    </row>
    <row r="145" spans="1:1" ht="20.5" x14ac:dyDescent="0.4">
      <c r="A145" s="92"/>
    </row>
    <row r="146" spans="1:1" ht="20.5" x14ac:dyDescent="0.4">
      <c r="A146" s="92"/>
    </row>
    <row r="147" spans="1:1" ht="20.5" x14ac:dyDescent="0.4">
      <c r="A147" s="92"/>
    </row>
    <row r="148" spans="1:1" ht="20.5" x14ac:dyDescent="0.4">
      <c r="A148" s="92"/>
    </row>
    <row r="149" spans="1:1" ht="20.5" x14ac:dyDescent="0.4">
      <c r="A149" s="92"/>
    </row>
    <row r="150" spans="1:1" ht="20.5" x14ac:dyDescent="0.4">
      <c r="A150" s="92"/>
    </row>
    <row r="151" spans="1:1" ht="20.5" x14ac:dyDescent="0.4">
      <c r="A151" s="92"/>
    </row>
    <row r="152" spans="1:1" ht="20.5" x14ac:dyDescent="0.4">
      <c r="A152" s="92"/>
    </row>
    <row r="153" spans="1:1" ht="20.5" x14ac:dyDescent="0.4">
      <c r="A153" s="92"/>
    </row>
    <row r="154" spans="1:1" ht="20.5" x14ac:dyDescent="0.4">
      <c r="A154" s="92"/>
    </row>
    <row r="155" spans="1:1" ht="20.5" x14ac:dyDescent="0.4">
      <c r="A155" s="92"/>
    </row>
    <row r="156" spans="1:1" ht="20.5" x14ac:dyDescent="0.4">
      <c r="A156" s="92"/>
    </row>
    <row r="159" spans="1:1" ht="20.5" x14ac:dyDescent="0.4">
      <c r="A159" s="92"/>
    </row>
    <row r="160" spans="1:1" ht="20.5" x14ac:dyDescent="0.4">
      <c r="A160" s="92"/>
    </row>
    <row r="161" spans="1:1" ht="20.5" x14ac:dyDescent="0.4">
      <c r="A161" s="92"/>
    </row>
    <row r="162" spans="1:1" ht="20.5" x14ac:dyDescent="0.4">
      <c r="A162" s="92"/>
    </row>
    <row r="163" spans="1:1" x14ac:dyDescent="0.4">
      <c r="A163" s="89"/>
    </row>
    <row r="164" spans="1:1" ht="20.5" x14ac:dyDescent="0.4">
      <c r="A164" s="92"/>
    </row>
    <row r="165" spans="1:1" ht="20.5" x14ac:dyDescent="0.4">
      <c r="A165" s="92"/>
    </row>
    <row r="166" spans="1:1" ht="20.5" x14ac:dyDescent="0.4">
      <c r="A166" s="92"/>
    </row>
    <row r="167" spans="1:1" ht="20.5" x14ac:dyDescent="0.4">
      <c r="A167" s="92"/>
    </row>
    <row r="168" spans="1:1" ht="20.5" x14ac:dyDescent="0.4">
      <c r="A168" s="92"/>
    </row>
    <row r="169" spans="1:1" ht="20.5" x14ac:dyDescent="0.4">
      <c r="A169" s="92"/>
    </row>
    <row r="170" spans="1:1" ht="20.5" x14ac:dyDescent="0.4">
      <c r="A170" s="92"/>
    </row>
    <row r="171" spans="1:1" ht="20.5" x14ac:dyDescent="0.4">
      <c r="A171" s="92"/>
    </row>
    <row r="172" spans="1:1" ht="20.5" x14ac:dyDescent="0.4">
      <c r="A172" s="92"/>
    </row>
    <row r="173" spans="1:1" ht="20.5" x14ac:dyDescent="0.4">
      <c r="A173" s="92"/>
    </row>
    <row r="174" spans="1:1" ht="20.5" x14ac:dyDescent="0.4">
      <c r="A174" s="92"/>
    </row>
    <row r="175" spans="1:1" ht="20.5" x14ac:dyDescent="0.4">
      <c r="A175" s="92"/>
    </row>
    <row r="176" spans="1:1" x14ac:dyDescent="0.4">
      <c r="A176" s="89"/>
    </row>
    <row r="177" spans="1:1" ht="20.5" x14ac:dyDescent="0.4">
      <c r="A177" s="92"/>
    </row>
    <row r="178" spans="1:1" ht="20.5" x14ac:dyDescent="0.4">
      <c r="A178" s="92"/>
    </row>
    <row r="179" spans="1:1" ht="20.5" x14ac:dyDescent="0.4">
      <c r="A179" s="92"/>
    </row>
    <row r="180" spans="1:1" ht="20.5" x14ac:dyDescent="0.4">
      <c r="A180" s="92"/>
    </row>
    <row r="181" spans="1:1" ht="20.5" x14ac:dyDescent="0.4">
      <c r="A181" s="92"/>
    </row>
    <row r="182" spans="1:1" ht="20.5" x14ac:dyDescent="0.4">
      <c r="A182" s="92"/>
    </row>
    <row r="183" spans="1:1" ht="20.5" x14ac:dyDescent="0.4">
      <c r="A183" s="92"/>
    </row>
    <row r="184" spans="1:1" ht="20.5" x14ac:dyDescent="0.4">
      <c r="A184" s="92"/>
    </row>
    <row r="185" spans="1:1" ht="20.5" x14ac:dyDescent="0.4">
      <c r="A185" s="92"/>
    </row>
    <row r="186" spans="1:1" ht="20.5" x14ac:dyDescent="0.4">
      <c r="A186" s="92"/>
    </row>
    <row r="187" spans="1:1" ht="20.5" x14ac:dyDescent="0.4">
      <c r="A187" s="92"/>
    </row>
    <row r="188" spans="1:1" ht="20.5" x14ac:dyDescent="0.4">
      <c r="A188" s="92"/>
    </row>
    <row r="189" spans="1:1" x14ac:dyDescent="0.4">
      <c r="A189" s="89"/>
    </row>
    <row r="190" spans="1:1" ht="20.5" x14ac:dyDescent="0.4">
      <c r="A190" s="92"/>
    </row>
    <row r="191" spans="1:1" ht="20.5" x14ac:dyDescent="0.4">
      <c r="A191" s="92"/>
    </row>
    <row r="192" spans="1:1" ht="20.5" x14ac:dyDescent="0.4">
      <c r="A192" s="92"/>
    </row>
    <row r="193" spans="1:1" ht="20.5" x14ac:dyDescent="0.4">
      <c r="A193" s="92"/>
    </row>
    <row r="194" spans="1:1" ht="20.5" x14ac:dyDescent="0.4">
      <c r="A194" s="92"/>
    </row>
    <row r="195" spans="1:1" ht="20.5" x14ac:dyDescent="0.4">
      <c r="A195" s="92"/>
    </row>
    <row r="196" spans="1:1" ht="20.5" x14ac:dyDescent="0.4">
      <c r="A196" s="92"/>
    </row>
    <row r="197" spans="1:1" ht="20.5" x14ac:dyDescent="0.4">
      <c r="A197" s="92"/>
    </row>
    <row r="198" spans="1:1" ht="20.5" x14ac:dyDescent="0.4">
      <c r="A198" s="92"/>
    </row>
    <row r="199" spans="1:1" ht="20.5" x14ac:dyDescent="0.4">
      <c r="A199" s="92"/>
    </row>
    <row r="200" spans="1:1" ht="20.5" x14ac:dyDescent="0.4">
      <c r="A200" s="92"/>
    </row>
    <row r="201" spans="1:1" ht="20.5" x14ac:dyDescent="0.4">
      <c r="A201" s="92"/>
    </row>
    <row r="202" spans="1:1" x14ac:dyDescent="0.4">
      <c r="A202" s="89"/>
    </row>
    <row r="203" spans="1:1" ht="20.5" x14ac:dyDescent="0.4">
      <c r="A203" s="92"/>
    </row>
    <row r="204" spans="1:1" ht="20.5" x14ac:dyDescent="0.4">
      <c r="A204" s="92"/>
    </row>
    <row r="205" spans="1:1" ht="20.5" x14ac:dyDescent="0.4">
      <c r="A205" s="92"/>
    </row>
    <row r="206" spans="1:1" ht="20.5" x14ac:dyDescent="0.4">
      <c r="A206" s="92"/>
    </row>
    <row r="207" spans="1:1" ht="20.5" x14ac:dyDescent="0.4">
      <c r="A207" s="92"/>
    </row>
    <row r="208" spans="1:1" ht="20.5" x14ac:dyDescent="0.4">
      <c r="A208" s="92"/>
    </row>
    <row r="209" spans="1:1" ht="20.5" x14ac:dyDescent="0.4">
      <c r="A209" s="92"/>
    </row>
    <row r="210" spans="1:1" ht="20.5" x14ac:dyDescent="0.4">
      <c r="A210" s="92"/>
    </row>
    <row r="211" spans="1:1" ht="20.5" x14ac:dyDescent="0.4">
      <c r="A211" s="92"/>
    </row>
    <row r="212" spans="1:1" ht="20.5" x14ac:dyDescent="0.4">
      <c r="A212" s="92"/>
    </row>
    <row r="213" spans="1:1" ht="20.5" x14ac:dyDescent="0.4">
      <c r="A213" s="92"/>
    </row>
    <row r="214" spans="1:1" ht="20.5" x14ac:dyDescent="0.4">
      <c r="A214" s="92"/>
    </row>
    <row r="215" spans="1:1" x14ac:dyDescent="0.4">
      <c r="A215" s="89"/>
    </row>
    <row r="216" spans="1:1" ht="20.5" x14ac:dyDescent="0.4">
      <c r="A216" s="92"/>
    </row>
    <row r="217" spans="1:1" ht="20.5" x14ac:dyDescent="0.4">
      <c r="A217" s="92"/>
    </row>
    <row r="218" spans="1:1" ht="20.5" x14ac:dyDescent="0.4">
      <c r="A218" s="92"/>
    </row>
    <row r="219" spans="1:1" ht="20.5" x14ac:dyDescent="0.4">
      <c r="A219" s="92"/>
    </row>
    <row r="220" spans="1:1" ht="20.5" x14ac:dyDescent="0.4">
      <c r="A220" s="92"/>
    </row>
    <row r="221" spans="1:1" ht="20.5" x14ac:dyDescent="0.4">
      <c r="A221" s="92"/>
    </row>
    <row r="222" spans="1:1" ht="20.5" x14ac:dyDescent="0.4">
      <c r="A222" s="92"/>
    </row>
    <row r="223" spans="1:1" ht="20.5" x14ac:dyDescent="0.4">
      <c r="A223" s="92"/>
    </row>
    <row r="224" spans="1:1" ht="20.5" x14ac:dyDescent="0.4">
      <c r="A224" s="92"/>
    </row>
    <row r="225" spans="1:1" ht="20.5" x14ac:dyDescent="0.4">
      <c r="A225" s="92"/>
    </row>
    <row r="226" spans="1:1" ht="20.5" x14ac:dyDescent="0.4">
      <c r="A226" s="92"/>
    </row>
    <row r="227" spans="1:1" ht="20.5" x14ac:dyDescent="0.4">
      <c r="A227" s="92"/>
    </row>
    <row r="231" spans="1:1" ht="20.5" x14ac:dyDescent="0.4">
      <c r="A231" s="92"/>
    </row>
    <row r="232" spans="1:1" ht="20.5" x14ac:dyDescent="0.4">
      <c r="A232" s="92"/>
    </row>
    <row r="233" spans="1:1" ht="20.5" x14ac:dyDescent="0.4">
      <c r="A233" s="92"/>
    </row>
    <row r="234" spans="1:1" ht="20.5" x14ac:dyDescent="0.4">
      <c r="A234" s="92"/>
    </row>
    <row r="235" spans="1:1" ht="20.5" x14ac:dyDescent="0.4">
      <c r="A235" s="92"/>
    </row>
    <row r="236" spans="1:1" ht="20.5" x14ac:dyDescent="0.4">
      <c r="A236" s="92"/>
    </row>
    <row r="237" spans="1:1" ht="20.5" x14ac:dyDescent="0.4">
      <c r="A237" s="92"/>
    </row>
    <row r="238" spans="1:1" x14ac:dyDescent="0.4">
      <c r="A238" s="89"/>
    </row>
    <row r="239" spans="1:1" ht="20.5" x14ac:dyDescent="0.4">
      <c r="A239" s="92"/>
    </row>
    <row r="240" spans="1:1" ht="20.5" x14ac:dyDescent="0.4">
      <c r="A240" s="92"/>
    </row>
    <row r="241" spans="1:1" ht="20.5" x14ac:dyDescent="0.4">
      <c r="A241" s="92"/>
    </row>
    <row r="242" spans="1:1" ht="20.5" x14ac:dyDescent="0.4">
      <c r="A242" s="92"/>
    </row>
    <row r="243" spans="1:1" ht="20.5" x14ac:dyDescent="0.4">
      <c r="A243" s="92"/>
    </row>
    <row r="244" spans="1:1" ht="20.5" x14ac:dyDescent="0.4">
      <c r="A244" s="92"/>
    </row>
    <row r="245" spans="1:1" ht="20.5" x14ac:dyDescent="0.4">
      <c r="A245" s="92"/>
    </row>
    <row r="246" spans="1:1" ht="20.5" x14ac:dyDescent="0.4">
      <c r="A246" s="92"/>
    </row>
    <row r="247" spans="1:1" ht="20.5" x14ac:dyDescent="0.4">
      <c r="A247" s="92"/>
    </row>
    <row r="248" spans="1:1" ht="20.5" x14ac:dyDescent="0.4">
      <c r="A248" s="92"/>
    </row>
    <row r="249" spans="1:1" ht="20.5" x14ac:dyDescent="0.4">
      <c r="A249" s="92"/>
    </row>
    <row r="250" spans="1:1" ht="20.5" x14ac:dyDescent="0.4">
      <c r="A250" s="92"/>
    </row>
    <row r="251" spans="1:1" x14ac:dyDescent="0.4">
      <c r="A251" s="89"/>
    </row>
    <row r="252" spans="1:1" ht="20.5" x14ac:dyDescent="0.4">
      <c r="A252" s="92"/>
    </row>
    <row r="253" spans="1:1" ht="20.5" x14ac:dyDescent="0.4">
      <c r="A253" s="92"/>
    </row>
    <row r="254" spans="1:1" ht="20.5" x14ac:dyDescent="0.4">
      <c r="A254" s="92"/>
    </row>
    <row r="255" spans="1:1" ht="20.5" x14ac:dyDescent="0.4">
      <c r="A255" s="92"/>
    </row>
    <row r="256" spans="1:1" ht="20.5" x14ac:dyDescent="0.4">
      <c r="A256" s="92"/>
    </row>
    <row r="257" spans="1:1" ht="20.5" x14ac:dyDescent="0.4">
      <c r="A257" s="92"/>
    </row>
    <row r="258" spans="1:1" ht="20.5" x14ac:dyDescent="0.4">
      <c r="A258" s="92"/>
    </row>
    <row r="259" spans="1:1" ht="20.5" x14ac:dyDescent="0.4">
      <c r="A259" s="92"/>
    </row>
    <row r="260" spans="1:1" ht="20.5" x14ac:dyDescent="0.4">
      <c r="A260" s="92"/>
    </row>
    <row r="261" spans="1:1" ht="20.5" x14ac:dyDescent="0.4">
      <c r="A261" s="92"/>
    </row>
    <row r="262" spans="1:1" ht="20.5" x14ac:dyDescent="0.4">
      <c r="A262" s="92"/>
    </row>
    <row r="263" spans="1:1" ht="20.5" x14ac:dyDescent="0.4">
      <c r="A263" s="92"/>
    </row>
    <row r="264" spans="1:1" x14ac:dyDescent="0.4">
      <c r="A264" s="89"/>
    </row>
    <row r="265" spans="1:1" ht="20.5" x14ac:dyDescent="0.4">
      <c r="A265" s="92"/>
    </row>
    <row r="266" spans="1:1" ht="20.5" x14ac:dyDescent="0.4">
      <c r="A266" s="92"/>
    </row>
    <row r="267" spans="1:1" ht="20.5" x14ac:dyDescent="0.4">
      <c r="A267" s="92"/>
    </row>
    <row r="268" spans="1:1" ht="20.5" x14ac:dyDescent="0.4">
      <c r="A268" s="92"/>
    </row>
    <row r="269" spans="1:1" ht="20.5" x14ac:dyDescent="0.4">
      <c r="A269" s="92"/>
    </row>
    <row r="270" spans="1:1" ht="20.5" x14ac:dyDescent="0.4">
      <c r="A270" s="92"/>
    </row>
    <row r="271" spans="1:1" ht="20.5" x14ac:dyDescent="0.4">
      <c r="A271" s="92"/>
    </row>
    <row r="272" spans="1:1" ht="20.5" x14ac:dyDescent="0.4">
      <c r="A272" s="92"/>
    </row>
    <row r="273" spans="1:1" ht="20.5" x14ac:dyDescent="0.4">
      <c r="A273" s="92"/>
    </row>
    <row r="274" spans="1:1" ht="20.5" x14ac:dyDescent="0.4">
      <c r="A274" s="92"/>
    </row>
    <row r="275" spans="1:1" ht="20.5" x14ac:dyDescent="0.4">
      <c r="A275" s="92"/>
    </row>
    <row r="276" spans="1:1" ht="20.5" x14ac:dyDescent="0.4">
      <c r="A276" s="92"/>
    </row>
    <row r="277" spans="1:1" x14ac:dyDescent="0.4">
      <c r="A277" s="89"/>
    </row>
    <row r="278" spans="1:1" ht="20.5" x14ac:dyDescent="0.4">
      <c r="A278" s="92"/>
    </row>
    <row r="279" spans="1:1" ht="20.5" x14ac:dyDescent="0.4">
      <c r="A279" s="92"/>
    </row>
    <row r="280" spans="1:1" ht="20.5" x14ac:dyDescent="0.4">
      <c r="A280" s="92"/>
    </row>
    <row r="281" spans="1:1" ht="20.5" x14ac:dyDescent="0.4">
      <c r="A281" s="92"/>
    </row>
    <row r="282" spans="1:1" ht="20.5" x14ac:dyDescent="0.4">
      <c r="A282" s="92"/>
    </row>
    <row r="283" spans="1:1" ht="20.5" x14ac:dyDescent="0.4">
      <c r="A283" s="92"/>
    </row>
    <row r="284" spans="1:1" ht="20.5" x14ac:dyDescent="0.4">
      <c r="A284" s="92"/>
    </row>
    <row r="285" spans="1:1" ht="20.5" x14ac:dyDescent="0.4">
      <c r="A285" s="92"/>
    </row>
    <row r="286" spans="1:1" ht="20.5" x14ac:dyDescent="0.4">
      <c r="A286" s="92"/>
    </row>
    <row r="287" spans="1:1" ht="20.5" x14ac:dyDescent="0.4">
      <c r="A287" s="92"/>
    </row>
    <row r="288" spans="1:1" ht="20.5" x14ac:dyDescent="0.4">
      <c r="A288" s="92"/>
    </row>
    <row r="289" spans="1:1" ht="20.5" x14ac:dyDescent="0.4">
      <c r="A289" s="92"/>
    </row>
    <row r="290" spans="1:1" x14ac:dyDescent="0.4">
      <c r="A290" s="89"/>
    </row>
    <row r="291" spans="1:1" ht="20.5" x14ac:dyDescent="0.4">
      <c r="A291" s="92"/>
    </row>
    <row r="292" spans="1:1" ht="20.5" x14ac:dyDescent="0.4">
      <c r="A292" s="92"/>
    </row>
    <row r="293" spans="1:1" ht="20.5" x14ac:dyDescent="0.4">
      <c r="A293" s="92"/>
    </row>
    <row r="294" spans="1:1" ht="20.5" x14ac:dyDescent="0.4">
      <c r="A294" s="92"/>
    </row>
    <row r="295" spans="1:1" ht="20.5" x14ac:dyDescent="0.4">
      <c r="A295" s="92"/>
    </row>
    <row r="296" spans="1:1" ht="20.5" x14ac:dyDescent="0.4">
      <c r="A296" s="92"/>
    </row>
    <row r="297" spans="1:1" ht="20.5" x14ac:dyDescent="0.4">
      <c r="A297" s="92"/>
    </row>
    <row r="298" spans="1:1" ht="20.5" x14ac:dyDescent="0.4">
      <c r="A298" s="92"/>
    </row>
    <row r="299" spans="1:1" ht="20.5" x14ac:dyDescent="0.4">
      <c r="A299" s="92"/>
    </row>
    <row r="300" spans="1:1" ht="20.5" x14ac:dyDescent="0.4">
      <c r="A300" s="92"/>
    </row>
    <row r="301" spans="1:1" ht="20.5" x14ac:dyDescent="0.4">
      <c r="A301" s="92"/>
    </row>
    <row r="302" spans="1:1" ht="20.5" x14ac:dyDescent="0.4">
      <c r="A302" s="92"/>
    </row>
  </sheetData>
  <mergeCells count="7">
    <mergeCell ref="CB6:CC6"/>
    <mergeCell ref="G74:P85"/>
    <mergeCell ref="B87:P87"/>
    <mergeCell ref="B86:P86"/>
    <mergeCell ref="B4:C5"/>
    <mergeCell ref="BK4:BN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topLeftCell="A7" zoomScale="50" zoomScaleNormal="50" workbookViewId="0">
      <selection activeCell="C80" sqref="C80"/>
    </sheetView>
  </sheetViews>
  <sheetFormatPr defaultColWidth="6.69140625" defaultRowHeight="22.5" x14ac:dyDescent="0.45"/>
  <cols>
    <col min="1" max="1" width="5.53515625" style="129" customWidth="1"/>
    <col min="2" max="2" width="24.53515625" style="129" customWidth="1"/>
    <col min="3" max="3" width="37.3046875" style="129" customWidth="1"/>
    <col min="4" max="4" width="7.4609375" style="130" customWidth="1"/>
    <col min="5" max="5" width="44.53515625" style="129" customWidth="1"/>
    <col min="6" max="6" width="7.4609375" style="130" customWidth="1"/>
    <col min="7" max="7" width="37.61328125" style="129" customWidth="1"/>
    <col min="8" max="8" width="7.4609375" style="130" customWidth="1"/>
    <col min="9" max="9" width="38.3828125" style="129" customWidth="1"/>
    <col min="10" max="10" width="7.4609375" style="130" customWidth="1"/>
    <col min="11" max="11" width="39.4609375" style="129" customWidth="1"/>
    <col min="12" max="12" width="7.4609375" style="130" customWidth="1"/>
    <col min="13" max="13" width="28.53515625" style="129" customWidth="1"/>
    <col min="14" max="14" width="7.4609375" style="130" customWidth="1"/>
    <col min="15" max="15" width="24.23046875" style="129" customWidth="1"/>
    <col min="16" max="16" width="7.4609375" style="130" customWidth="1"/>
    <col min="17" max="17" width="13.3046875" style="129" customWidth="1"/>
    <col min="18" max="18" width="31.3046875" style="129" customWidth="1"/>
    <col min="19" max="19" width="11.84375" style="129" customWidth="1"/>
    <col min="20" max="20" width="11.3046875" style="129" customWidth="1"/>
    <col min="21" max="16384" width="6.69140625" style="129"/>
  </cols>
  <sheetData>
    <row r="1" spans="1:88" ht="49.75" customHeight="1" x14ac:dyDescent="0.45">
      <c r="R1" s="131"/>
      <c r="S1" s="131"/>
    </row>
    <row r="2" spans="1:88" ht="13.75" customHeight="1" x14ac:dyDescent="0.45">
      <c r="R2" s="131"/>
      <c r="S2" s="131"/>
    </row>
    <row r="3" spans="1:88" ht="19.399999999999999" customHeight="1" x14ac:dyDescent="0.45">
      <c r="B3" s="132"/>
      <c r="R3" s="131"/>
      <c r="S3" s="131"/>
      <c r="BB3" s="132"/>
      <c r="BC3" s="132"/>
      <c r="BD3" s="132"/>
    </row>
    <row r="4" spans="1:88" ht="43.75" customHeight="1" x14ac:dyDescent="0.45">
      <c r="B4" s="287"/>
      <c r="C4" s="287"/>
      <c r="R4" s="131"/>
      <c r="S4" s="131"/>
      <c r="BB4" s="132"/>
      <c r="BC4" s="132"/>
      <c r="BD4" s="132"/>
      <c r="BK4" s="276"/>
      <c r="BL4" s="276"/>
      <c r="BM4" s="276"/>
      <c r="BN4" s="276"/>
      <c r="CH4" s="133"/>
    </row>
    <row r="5" spans="1:88" ht="30" customHeight="1" x14ac:dyDescent="0.45">
      <c r="B5" s="287"/>
      <c r="C5" s="287"/>
      <c r="D5" s="134"/>
      <c r="F5" s="134"/>
      <c r="H5" s="134"/>
      <c r="I5" s="132"/>
      <c r="J5" s="134"/>
      <c r="K5" s="132"/>
      <c r="L5" s="134"/>
      <c r="M5" s="132"/>
      <c r="N5" s="134"/>
      <c r="O5" s="132"/>
      <c r="P5" s="134"/>
      <c r="R5" s="135"/>
      <c r="S5" s="135"/>
      <c r="BB5" s="132"/>
      <c r="BC5" s="132"/>
      <c r="BD5" s="132"/>
      <c r="BH5" s="132"/>
      <c r="BI5" s="132"/>
      <c r="BJ5" s="132"/>
      <c r="BK5" s="276"/>
      <c r="BL5" s="276"/>
      <c r="BM5" s="276"/>
      <c r="BN5" s="276"/>
      <c r="BO5" s="132"/>
      <c r="BP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</row>
    <row r="6" spans="1:88" ht="48.65" customHeight="1" x14ac:dyDescent="0.85">
      <c r="F6" s="136"/>
      <c r="G6" s="259" t="s">
        <v>16</v>
      </c>
      <c r="H6" s="259"/>
      <c r="I6" s="59" t="str">
        <f>UPPER(TEXT(DATE(CalendarYear,1,1)," yyyy"))</f>
        <v xml:space="preserve"> 2022</v>
      </c>
      <c r="J6" s="188"/>
      <c r="K6" s="127"/>
      <c r="L6" s="59" t="s">
        <v>171</v>
      </c>
      <c r="M6" s="128"/>
      <c r="N6" s="137"/>
      <c r="BO6" s="138"/>
      <c r="BP6" s="139"/>
      <c r="BR6" s="138"/>
      <c r="BS6" s="139"/>
      <c r="BT6" s="138"/>
      <c r="BU6" s="138"/>
      <c r="BV6" s="139"/>
      <c r="BW6" s="138"/>
      <c r="BX6" s="138"/>
      <c r="BY6" s="139"/>
      <c r="CA6" s="138"/>
      <c r="CB6" s="277"/>
      <c r="CC6" s="277"/>
      <c r="CD6" s="140"/>
      <c r="CE6" s="139"/>
    </row>
    <row r="7" spans="1:88" s="144" customFormat="1" ht="26.25" customHeight="1" x14ac:dyDescent="0.45">
      <c r="A7" s="129"/>
      <c r="B7" s="141"/>
      <c r="C7" s="142" t="s">
        <v>7</v>
      </c>
      <c r="D7" s="142"/>
      <c r="E7" s="142" t="s">
        <v>8</v>
      </c>
      <c r="F7" s="142"/>
      <c r="G7" s="142" t="s">
        <v>9</v>
      </c>
      <c r="H7" s="142"/>
      <c r="I7" s="142" t="s">
        <v>10</v>
      </c>
      <c r="J7" s="142"/>
      <c r="K7" s="142" t="s">
        <v>11</v>
      </c>
      <c r="L7" s="142"/>
      <c r="M7" s="142" t="s">
        <v>12</v>
      </c>
      <c r="N7" s="142"/>
      <c r="O7" s="142" t="s">
        <v>13</v>
      </c>
      <c r="P7" s="143"/>
      <c r="Q7" s="129"/>
      <c r="S7" s="129"/>
      <c r="T7" s="145"/>
      <c r="X7" s="129"/>
      <c r="Y7" s="129"/>
    </row>
    <row r="8" spans="1:88" s="146" customFormat="1" ht="18" customHeight="1" x14ac:dyDescent="0.3">
      <c r="B8" s="147"/>
      <c r="C8" s="148" t="str">
        <f>IF(DAY(MarSun1)=1,"",IF(AND(YEAR(MarSun1+1)=CalendarYear,MONTH(MarSun1+1)=3),MarSun1+1,""))</f>
        <v/>
      </c>
      <c r="D8" s="149" t="s">
        <v>29</v>
      </c>
      <c r="E8" s="148">
        <f>IF(DAY(MarSun1)=1,"",IF(AND(YEAR(MarSun1+2)=CalendarYear,MONTH(MarSun1+2)=3),MarSun1+2,""))</f>
        <v>44621</v>
      </c>
      <c r="F8" s="149" t="s">
        <v>29</v>
      </c>
      <c r="G8" s="150">
        <f>IF(DAY(MarSun1)=1,"",IF(AND(YEAR(MarSun1+3)=CalendarYear,MONTH(MarSun1+3)=3),MarSun1+3,""))</f>
        <v>44622</v>
      </c>
      <c r="H8" s="149" t="s">
        <v>29</v>
      </c>
      <c r="I8" s="150">
        <f>IF(DAY(MarSun1)=1,"",IF(AND(YEAR(MarSun1+4)=CalendarYear,MONTH(MarSun1+4)=3),MarSun1+4,""))</f>
        <v>44623</v>
      </c>
      <c r="J8" s="149" t="s">
        <v>29</v>
      </c>
      <c r="K8" s="150">
        <f>IF(DAY(MarSun1)=1,"",IF(AND(YEAR(MarSun1+5)=CalendarYear,MONTH(MarSun1+5)=3),MarSun1+5,""))</f>
        <v>44624</v>
      </c>
      <c r="L8" s="149" t="s">
        <v>29</v>
      </c>
      <c r="M8" s="150">
        <f>IF(DAY(MarSun1)=1,"",IF(AND(YEAR(MarSun1+6)=CalendarYear,MONTH(MarSun1+6)=3),MarSun1+6,""))</f>
        <v>44625</v>
      </c>
      <c r="N8" s="149" t="s">
        <v>29</v>
      </c>
      <c r="O8" s="150">
        <f>IF(DAY(MarSun1)=1,IF(AND(YEAR(MarSun1)=CalendarYear,MONTH(MarSun1)=3),MarSun1,""),IF(AND(YEAR(MarSun1+7)=CalendarYear,MONTH(MarSun1+7)=3),MarSun1+7,""))</f>
        <v>44626</v>
      </c>
      <c r="P8" s="149" t="s">
        <v>29</v>
      </c>
      <c r="Q8" s="151"/>
      <c r="T8" s="152"/>
      <c r="U8" s="153"/>
    </row>
    <row r="9" spans="1:88" s="154" customFormat="1" ht="17.5" customHeight="1" x14ac:dyDescent="0.55000000000000004">
      <c r="B9" s="155" t="s">
        <v>1</v>
      </c>
      <c r="C9" s="156"/>
      <c r="D9" s="157"/>
      <c r="E9" s="156" t="s">
        <v>89</v>
      </c>
      <c r="F9" s="157"/>
      <c r="G9" s="158" t="s">
        <v>31</v>
      </c>
      <c r="H9" s="157"/>
      <c r="I9" s="158" t="s">
        <v>124</v>
      </c>
      <c r="J9" s="157"/>
      <c r="K9" s="158" t="s">
        <v>68</v>
      </c>
      <c r="L9" s="157"/>
      <c r="M9" s="158" t="s">
        <v>42</v>
      </c>
      <c r="N9" s="157"/>
      <c r="O9" s="158" t="s">
        <v>32</v>
      </c>
      <c r="P9" s="157"/>
      <c r="Q9" s="159"/>
    </row>
    <row r="10" spans="1:88" s="154" customFormat="1" ht="17.5" customHeight="1" x14ac:dyDescent="0.55000000000000004">
      <c r="B10" s="155"/>
      <c r="C10" s="160"/>
      <c r="D10" s="161"/>
      <c r="E10" s="160"/>
      <c r="F10" s="161"/>
      <c r="G10" s="162"/>
      <c r="H10" s="161"/>
      <c r="I10" s="162"/>
      <c r="J10" s="161"/>
      <c r="K10" s="162"/>
      <c r="L10" s="161"/>
      <c r="M10" s="162"/>
      <c r="N10" s="161"/>
      <c r="O10" s="162"/>
      <c r="P10" s="161"/>
      <c r="Q10" s="159"/>
    </row>
    <row r="11" spans="1:88" s="154" customFormat="1" ht="17.5" customHeight="1" x14ac:dyDescent="0.55000000000000004">
      <c r="B11" s="155" t="s">
        <v>3</v>
      </c>
      <c r="C11" s="160"/>
      <c r="D11" s="161"/>
      <c r="E11" s="160" t="s">
        <v>278</v>
      </c>
      <c r="F11" s="161"/>
      <c r="G11" s="162" t="s">
        <v>111</v>
      </c>
      <c r="H11" s="161"/>
      <c r="I11" s="162" t="s">
        <v>192</v>
      </c>
      <c r="J11" s="161"/>
      <c r="K11" s="162" t="s">
        <v>142</v>
      </c>
      <c r="L11" s="161"/>
      <c r="M11" s="162" t="s">
        <v>302</v>
      </c>
      <c r="N11" s="161"/>
      <c r="O11" s="162" t="s">
        <v>32</v>
      </c>
      <c r="P11" s="161"/>
      <c r="Q11" s="159"/>
    </row>
    <row r="12" spans="1:88" s="154" customFormat="1" ht="17.5" customHeight="1" x14ac:dyDescent="0.55000000000000004">
      <c r="B12" s="155"/>
      <c r="C12" s="160"/>
      <c r="D12" s="161"/>
      <c r="E12" s="160"/>
      <c r="F12" s="161"/>
      <c r="G12" s="162"/>
      <c r="H12" s="161"/>
      <c r="I12" s="162"/>
      <c r="J12" s="161"/>
      <c r="K12" s="162"/>
      <c r="L12" s="161"/>
      <c r="M12" s="162"/>
      <c r="N12" s="161"/>
      <c r="O12" s="162"/>
      <c r="P12" s="161"/>
      <c r="Q12" s="159"/>
    </row>
    <row r="13" spans="1:88" s="154" customFormat="1" ht="17.5" customHeight="1" x14ac:dyDescent="0.55000000000000004">
      <c r="B13" s="155" t="s">
        <v>4</v>
      </c>
      <c r="C13" s="160"/>
      <c r="D13" s="161"/>
      <c r="E13" s="160" t="s">
        <v>213</v>
      </c>
      <c r="F13" s="161"/>
      <c r="G13" s="162" t="s">
        <v>53</v>
      </c>
      <c r="H13" s="161"/>
      <c r="I13" s="162" t="s">
        <v>75</v>
      </c>
      <c r="J13" s="161"/>
      <c r="K13" s="162" t="s">
        <v>56</v>
      </c>
      <c r="L13" s="161"/>
      <c r="M13" s="162" t="s">
        <v>280</v>
      </c>
      <c r="N13" s="161"/>
      <c r="O13" s="162" t="s">
        <v>32</v>
      </c>
      <c r="P13" s="161"/>
      <c r="Q13" s="159"/>
    </row>
    <row r="14" spans="1:88" s="154" customFormat="1" ht="17.5" customHeight="1" x14ac:dyDescent="0.55000000000000004">
      <c r="B14" s="155"/>
      <c r="C14" s="160"/>
      <c r="D14" s="161"/>
      <c r="E14" s="160"/>
      <c r="F14" s="161"/>
      <c r="G14" s="162"/>
      <c r="H14" s="161"/>
      <c r="I14" s="162"/>
      <c r="J14" s="161"/>
      <c r="K14" s="162"/>
      <c r="L14" s="161"/>
      <c r="M14" s="162"/>
      <c r="N14" s="161"/>
      <c r="O14" s="162"/>
      <c r="P14" s="161"/>
      <c r="Q14" s="159"/>
    </row>
    <row r="15" spans="1:88" s="154" customFormat="1" ht="17.5" customHeight="1" x14ac:dyDescent="0.55000000000000004">
      <c r="B15" s="155" t="s">
        <v>30</v>
      </c>
      <c r="C15" s="160"/>
      <c r="D15" s="161"/>
      <c r="E15" s="160" t="s">
        <v>38</v>
      </c>
      <c r="F15" s="161"/>
      <c r="G15" s="162" t="s">
        <v>279</v>
      </c>
      <c r="H15" s="161"/>
      <c r="I15" s="162" t="s">
        <v>85</v>
      </c>
      <c r="J15" s="161"/>
      <c r="K15" s="162" t="s">
        <v>60</v>
      </c>
      <c r="L15" s="161"/>
      <c r="M15" s="162" t="s">
        <v>38</v>
      </c>
      <c r="N15" s="161"/>
      <c r="O15" s="162" t="s">
        <v>32</v>
      </c>
      <c r="P15" s="161"/>
      <c r="Q15" s="159"/>
    </row>
    <row r="16" spans="1:88" s="154" customFormat="1" ht="17.5" customHeight="1" x14ac:dyDescent="0.55000000000000004">
      <c r="B16" s="155"/>
      <c r="C16" s="160"/>
      <c r="D16" s="161"/>
      <c r="E16" s="160"/>
      <c r="F16" s="161"/>
      <c r="G16" s="162"/>
      <c r="H16" s="161"/>
      <c r="I16" s="162"/>
      <c r="J16" s="161"/>
      <c r="K16" s="162"/>
      <c r="L16" s="161"/>
      <c r="M16" s="162"/>
      <c r="N16" s="161"/>
      <c r="O16" s="162"/>
      <c r="P16" s="161"/>
      <c r="Q16" s="159"/>
    </row>
    <row r="17" spans="2:21" s="154" customFormat="1" ht="17.5" customHeight="1" x14ac:dyDescent="0.55000000000000004">
      <c r="B17" s="155" t="s">
        <v>6</v>
      </c>
      <c r="C17" s="160"/>
      <c r="D17" s="161"/>
      <c r="E17" s="160" t="s">
        <v>82</v>
      </c>
      <c r="F17" s="161"/>
      <c r="G17" s="162" t="s">
        <v>66</v>
      </c>
      <c r="H17" s="161"/>
      <c r="I17" s="162" t="s">
        <v>119</v>
      </c>
      <c r="J17" s="161"/>
      <c r="K17" s="162" t="s">
        <v>62</v>
      </c>
      <c r="L17" s="161"/>
      <c r="M17" s="162" t="s">
        <v>40</v>
      </c>
      <c r="N17" s="161"/>
      <c r="O17" s="162" t="s">
        <v>32</v>
      </c>
      <c r="P17" s="161"/>
      <c r="Q17" s="159"/>
    </row>
    <row r="18" spans="2:21" s="154" customFormat="1" ht="17.5" customHeight="1" x14ac:dyDescent="0.55000000000000004">
      <c r="B18" s="155"/>
      <c r="C18" s="160"/>
      <c r="D18" s="161"/>
      <c r="E18" s="160"/>
      <c r="F18" s="161"/>
      <c r="G18" s="162"/>
      <c r="H18" s="161"/>
      <c r="I18" s="162"/>
      <c r="J18" s="161"/>
      <c r="K18" s="162"/>
      <c r="L18" s="161"/>
      <c r="M18" s="162"/>
      <c r="N18" s="161"/>
      <c r="O18" s="162"/>
      <c r="P18" s="161"/>
      <c r="Q18" s="159"/>
    </row>
    <row r="19" spans="2:21" s="154" customFormat="1" ht="17.5" customHeight="1" x14ac:dyDescent="0.55000000000000004">
      <c r="B19" s="155"/>
      <c r="C19" s="160"/>
      <c r="D19" s="161"/>
      <c r="E19" s="160"/>
      <c r="F19" s="161"/>
      <c r="G19" s="162"/>
      <c r="H19" s="161"/>
      <c r="I19" s="162"/>
      <c r="J19" s="161"/>
      <c r="K19" s="162"/>
      <c r="L19" s="161"/>
      <c r="M19" s="162"/>
      <c r="N19" s="161"/>
      <c r="O19" s="162"/>
      <c r="P19" s="161"/>
      <c r="Q19" s="159"/>
    </row>
    <row r="20" spans="2:21" s="154" customFormat="1" ht="17.5" customHeight="1" x14ac:dyDescent="0.55000000000000004">
      <c r="B20" s="163"/>
      <c r="C20" s="164"/>
      <c r="D20" s="165"/>
      <c r="E20" s="164"/>
      <c r="F20" s="165"/>
      <c r="G20" s="166"/>
      <c r="H20" s="165"/>
      <c r="I20" s="166"/>
      <c r="J20" s="165"/>
      <c r="K20" s="166"/>
      <c r="L20" s="165"/>
      <c r="M20" s="166"/>
      <c r="N20" s="165"/>
      <c r="O20" s="166"/>
      <c r="P20" s="165"/>
      <c r="Q20" s="159"/>
    </row>
    <row r="21" spans="2:21" s="146" customFormat="1" ht="18" customHeight="1" x14ac:dyDescent="0.3">
      <c r="B21" s="147"/>
      <c r="C21" s="148">
        <f>IF(DAY(MarSun1)=1,IF(AND(YEAR(MarSun1+1)=CalendarYear,MONTH(MarSun1+1)=3),MarSun1+1,""),IF(AND(YEAR(MarSun1+8)=CalendarYear,MONTH(MarSun1+8)=3),MarSun1+8,""))</f>
        <v>44627</v>
      </c>
      <c r="D21" s="149" t="s">
        <v>29</v>
      </c>
      <c r="E21" s="148">
        <f>IF(DAY(MarSun1)=1,IF(AND(YEAR(MarSun1+2)=CalendarYear,MONTH(MarSun1+2)=3),MarSun1+2,""),IF(AND(YEAR(MarSun1+9)=CalendarYear,MONTH(MarSun1+9)=3),MarSun1+9,""))</f>
        <v>44628</v>
      </c>
      <c r="F21" s="149" t="s">
        <v>29</v>
      </c>
      <c r="G21" s="150">
        <f>IF(DAY(MarSun1)=1,IF(AND(YEAR(MarSun1+3)=CalendarYear,MONTH(MarSun1+3)=3),MarSun1+3,""),IF(AND(YEAR(MarSun1+10)=CalendarYear,MONTH(MarSun1+10)=3),MarSun1+10,""))</f>
        <v>44629</v>
      </c>
      <c r="H21" s="149" t="s">
        <v>29</v>
      </c>
      <c r="I21" s="150">
        <f>IF(DAY(MarSun1)=1,IF(AND(YEAR(MarSun1+4)=CalendarYear,MONTH(MarSun1+4)=3),MarSun1+4,""),IF(AND(YEAR(MarSun1+11)=CalendarYear,MONTH(MarSun1+11)=3),MarSun1+11,""))</f>
        <v>44630</v>
      </c>
      <c r="J21" s="149" t="s">
        <v>29</v>
      </c>
      <c r="K21" s="150">
        <f>IF(DAY(MarSun1)=1,IF(AND(YEAR(MarSun1+5)=CalendarYear,MONTH(MarSun1+5)=3),MarSun1+5,""),IF(AND(YEAR(MarSun1+12)=CalendarYear,MONTH(MarSun1+12)=3),MarSun1+12,""))</f>
        <v>44631</v>
      </c>
      <c r="L21" s="149" t="s">
        <v>29</v>
      </c>
      <c r="M21" s="150">
        <f>IF(DAY(MarSun1)=1,IF(AND(YEAR(MarSun1+6)=CalendarYear,MONTH(MarSun1+6)=3),MarSun1+6,""),IF(AND(YEAR(MarSun1+13)=CalendarYear,MONTH(MarSun1+13)=3),MarSun1+13,""))</f>
        <v>44632</v>
      </c>
      <c r="N21" s="149" t="s">
        <v>29</v>
      </c>
      <c r="O21" s="150">
        <f>IF(DAY(MarSun1)=1,IF(AND(YEAR(MarSun1+7)=CalendarYear,MONTH(MarSun1+7)=3),MarSun1+7,""),IF(AND(YEAR(MarSun1+14)=CalendarYear,MONTH(MarSun1+14)=3),MarSun1+14,""))</f>
        <v>44633</v>
      </c>
      <c r="P21" s="149" t="s">
        <v>29</v>
      </c>
      <c r="Q21" s="151"/>
      <c r="T21" s="152"/>
      <c r="U21" s="153"/>
    </row>
    <row r="22" spans="2:21" s="154" customFormat="1" ht="17.5" customHeight="1" x14ac:dyDescent="0.55000000000000004">
      <c r="B22" s="155" t="s">
        <v>1</v>
      </c>
      <c r="C22" s="167" t="s">
        <v>42</v>
      </c>
      <c r="D22" s="168"/>
      <c r="E22" s="167" t="s">
        <v>161</v>
      </c>
      <c r="F22" s="168"/>
      <c r="G22" s="169" t="s">
        <v>67</v>
      </c>
      <c r="H22" s="168"/>
      <c r="I22" s="169" t="s">
        <v>105</v>
      </c>
      <c r="J22" s="168"/>
      <c r="K22" s="169" t="s">
        <v>45</v>
      </c>
      <c r="L22" s="168"/>
      <c r="M22" s="169" t="s">
        <v>222</v>
      </c>
      <c r="N22" s="168"/>
      <c r="O22" s="169" t="s">
        <v>32</v>
      </c>
      <c r="P22" s="168"/>
      <c r="Q22" s="159"/>
    </row>
    <row r="23" spans="2:21" s="154" customFormat="1" ht="17.5" customHeight="1" x14ac:dyDescent="0.55000000000000004">
      <c r="B23" s="155"/>
      <c r="C23" s="170"/>
      <c r="D23" s="171"/>
      <c r="E23" s="170"/>
      <c r="F23" s="171"/>
      <c r="G23" s="172"/>
      <c r="H23" s="171"/>
      <c r="I23" s="172"/>
      <c r="J23" s="171"/>
      <c r="K23" s="172"/>
      <c r="L23" s="171"/>
      <c r="M23" s="172"/>
      <c r="N23" s="171"/>
      <c r="O23" s="172"/>
      <c r="P23" s="171"/>
      <c r="Q23" s="159"/>
    </row>
    <row r="24" spans="2:21" s="154" customFormat="1" ht="17.5" customHeight="1" x14ac:dyDescent="0.55000000000000004">
      <c r="B24" s="155" t="s">
        <v>3</v>
      </c>
      <c r="C24" s="170" t="s">
        <v>284</v>
      </c>
      <c r="D24" s="171"/>
      <c r="E24" s="170" t="s">
        <v>307</v>
      </c>
      <c r="F24" s="171"/>
      <c r="G24" s="172" t="s">
        <v>199</v>
      </c>
      <c r="H24" s="171"/>
      <c r="I24" s="172" t="s">
        <v>285</v>
      </c>
      <c r="J24" s="171"/>
      <c r="K24" s="172" t="s">
        <v>290</v>
      </c>
      <c r="L24" s="171"/>
      <c r="M24" s="172" t="s">
        <v>286</v>
      </c>
      <c r="N24" s="171"/>
      <c r="O24" s="172" t="s">
        <v>32</v>
      </c>
      <c r="P24" s="171"/>
      <c r="Q24" s="159"/>
    </row>
    <row r="25" spans="2:21" s="154" customFormat="1" ht="17.5" customHeight="1" x14ac:dyDescent="0.55000000000000004">
      <c r="B25" s="155"/>
      <c r="C25" s="170"/>
      <c r="D25" s="171"/>
      <c r="E25" s="170"/>
      <c r="F25" s="171"/>
      <c r="G25" s="172"/>
      <c r="H25" s="171"/>
      <c r="I25" s="172"/>
      <c r="J25" s="171"/>
      <c r="K25" s="172"/>
      <c r="L25" s="171"/>
      <c r="M25" s="172"/>
      <c r="N25" s="171"/>
      <c r="O25" s="172"/>
      <c r="P25" s="171"/>
      <c r="Q25" s="159"/>
    </row>
    <row r="26" spans="2:21" s="154" customFormat="1" ht="17.5" customHeight="1" x14ac:dyDescent="0.55000000000000004">
      <c r="B26" s="155" t="s">
        <v>4</v>
      </c>
      <c r="C26" s="170" t="s">
        <v>281</v>
      </c>
      <c r="D26" s="171"/>
      <c r="E26" s="170" t="s">
        <v>112</v>
      </c>
      <c r="F26" s="171"/>
      <c r="G26" s="172" t="s">
        <v>53</v>
      </c>
      <c r="H26" s="171"/>
      <c r="I26" s="172" t="s">
        <v>303</v>
      </c>
      <c r="J26" s="171"/>
      <c r="K26" s="172" t="s">
        <v>201</v>
      </c>
      <c r="L26" s="171"/>
      <c r="M26" s="172" t="s">
        <v>77</v>
      </c>
      <c r="N26" s="171"/>
      <c r="O26" s="172" t="s">
        <v>32</v>
      </c>
      <c r="P26" s="171"/>
      <c r="Q26" s="159"/>
    </row>
    <row r="27" spans="2:21" s="154" customFormat="1" ht="17.5" customHeight="1" x14ac:dyDescent="0.55000000000000004">
      <c r="B27" s="155"/>
      <c r="C27" s="170"/>
      <c r="D27" s="171"/>
      <c r="E27" s="170" t="s">
        <v>90</v>
      </c>
      <c r="F27" s="171"/>
      <c r="G27" s="172"/>
      <c r="H27" s="171"/>
      <c r="I27" s="172"/>
      <c r="J27" s="171"/>
      <c r="K27" s="172"/>
      <c r="L27" s="171"/>
      <c r="M27" s="172"/>
      <c r="N27" s="171"/>
      <c r="O27" s="172"/>
      <c r="P27" s="171"/>
      <c r="Q27" s="159"/>
    </row>
    <row r="28" spans="2:21" s="154" customFormat="1" ht="17.5" customHeight="1" x14ac:dyDescent="0.55000000000000004">
      <c r="B28" s="155" t="s">
        <v>30</v>
      </c>
      <c r="C28" s="170" t="s">
        <v>121</v>
      </c>
      <c r="D28" s="171"/>
      <c r="E28" s="170" t="s">
        <v>38</v>
      </c>
      <c r="F28" s="171"/>
      <c r="G28" s="172" t="s">
        <v>282</v>
      </c>
      <c r="H28" s="171"/>
      <c r="I28" s="172" t="s">
        <v>57</v>
      </c>
      <c r="J28" s="171"/>
      <c r="K28" s="172" t="s">
        <v>203</v>
      </c>
      <c r="L28" s="171"/>
      <c r="M28" s="172" t="s">
        <v>38</v>
      </c>
      <c r="N28" s="171"/>
      <c r="O28" s="172" t="s">
        <v>32</v>
      </c>
      <c r="P28" s="171"/>
      <c r="Q28" s="159"/>
    </row>
    <row r="29" spans="2:21" s="154" customFormat="1" ht="17.5" customHeight="1" x14ac:dyDescent="0.55000000000000004">
      <c r="B29" s="155"/>
      <c r="C29" s="170"/>
      <c r="D29" s="171"/>
      <c r="E29" s="170"/>
      <c r="F29" s="171"/>
      <c r="G29" s="172"/>
      <c r="H29" s="171"/>
      <c r="I29" s="172"/>
      <c r="J29" s="171"/>
      <c r="K29" s="172"/>
      <c r="L29" s="171"/>
      <c r="M29" s="172"/>
      <c r="N29" s="171"/>
      <c r="O29" s="172"/>
      <c r="P29" s="171"/>
      <c r="Q29" s="159"/>
    </row>
    <row r="30" spans="2:21" s="154" customFormat="1" ht="17.5" customHeight="1" x14ac:dyDescent="0.55000000000000004">
      <c r="B30" s="155" t="s">
        <v>6</v>
      </c>
      <c r="C30" s="170" t="s">
        <v>40</v>
      </c>
      <c r="D30" s="171"/>
      <c r="E30" s="170" t="s">
        <v>82</v>
      </c>
      <c r="F30" s="171"/>
      <c r="G30" s="172" t="s">
        <v>122</v>
      </c>
      <c r="H30" s="171"/>
      <c r="I30" s="172" t="s">
        <v>66</v>
      </c>
      <c r="J30" s="171"/>
      <c r="K30" s="172" t="s">
        <v>183</v>
      </c>
      <c r="L30" s="171"/>
      <c r="M30" s="172" t="s">
        <v>40</v>
      </c>
      <c r="N30" s="171"/>
      <c r="O30" s="172" t="s">
        <v>32</v>
      </c>
      <c r="P30" s="171"/>
      <c r="Q30" s="159"/>
    </row>
    <row r="31" spans="2:21" s="154" customFormat="1" ht="17.5" customHeight="1" x14ac:dyDescent="0.55000000000000004">
      <c r="B31" s="155"/>
      <c r="C31" s="170"/>
      <c r="D31" s="171"/>
      <c r="E31" s="170"/>
      <c r="F31" s="171"/>
      <c r="G31" s="172"/>
      <c r="H31" s="171"/>
      <c r="I31" s="172"/>
      <c r="J31" s="171"/>
      <c r="K31" s="172"/>
      <c r="L31" s="171"/>
      <c r="M31" s="172"/>
      <c r="N31" s="171"/>
      <c r="O31" s="172"/>
      <c r="P31" s="171"/>
      <c r="Q31" s="159"/>
    </row>
    <row r="32" spans="2:21" s="154" customFormat="1" ht="17.5" customHeight="1" x14ac:dyDescent="0.55000000000000004">
      <c r="B32" s="155"/>
      <c r="C32" s="170"/>
      <c r="D32" s="171"/>
      <c r="E32" s="170"/>
      <c r="F32" s="171"/>
      <c r="G32" s="172"/>
      <c r="H32" s="171"/>
      <c r="I32" s="172"/>
      <c r="J32" s="171"/>
      <c r="K32" s="172"/>
      <c r="L32" s="171"/>
      <c r="M32" s="172"/>
      <c r="N32" s="171"/>
      <c r="O32" s="172"/>
      <c r="P32" s="171"/>
      <c r="Q32" s="159"/>
    </row>
    <row r="33" spans="2:21" s="154" customFormat="1" ht="17.5" customHeight="1" x14ac:dyDescent="0.55000000000000004">
      <c r="B33" s="163"/>
      <c r="C33" s="173"/>
      <c r="D33" s="174"/>
      <c r="E33" s="173"/>
      <c r="F33" s="174"/>
      <c r="G33" s="175"/>
      <c r="H33" s="174"/>
      <c r="I33" s="175"/>
      <c r="J33" s="174"/>
      <c r="K33" s="175"/>
      <c r="L33" s="174"/>
      <c r="M33" s="175"/>
      <c r="N33" s="174"/>
      <c r="O33" s="175"/>
      <c r="P33" s="174"/>
      <c r="Q33" s="159"/>
    </row>
    <row r="34" spans="2:21" s="146" customFormat="1" ht="18" customHeight="1" x14ac:dyDescent="0.3">
      <c r="B34" s="147"/>
      <c r="C34" s="148">
        <f>IF(DAY(MarSun1)=1,IF(AND(YEAR(MarSun1+8)=CalendarYear,MONTH(MarSun1+8)=3),MarSun1+8,""),IF(AND(YEAR(MarSun1+15)=CalendarYear,MONTH(MarSun1+15)=3),MarSun1+15,""))</f>
        <v>44634</v>
      </c>
      <c r="D34" s="149" t="s">
        <v>29</v>
      </c>
      <c r="E34" s="148">
        <f>IF(DAY(MarSun1)=1,IF(AND(YEAR(MarSun1+9)=CalendarYear,MONTH(MarSun1+9)=3),MarSun1+9,""),IF(AND(YEAR(MarSun1+16)=CalendarYear,MONTH(MarSun1+16)=3),MarSun1+16,""))</f>
        <v>44635</v>
      </c>
      <c r="F34" s="149" t="s">
        <v>29</v>
      </c>
      <c r="G34" s="150">
        <f>IF(DAY(MarSun1)=1,IF(AND(YEAR(MarSun1+10)=CalendarYear,MONTH(MarSun1+10)=3),MarSun1+10,""),IF(AND(YEAR(MarSun1+17)=CalendarYear,MONTH(MarSun1+17)=3),MarSun1+17,""))</f>
        <v>44636</v>
      </c>
      <c r="H34" s="149" t="s">
        <v>29</v>
      </c>
      <c r="I34" s="150">
        <f>IF(DAY(MarSun1)=1,IF(AND(YEAR(MarSun1+11)=CalendarYear,MONTH(MarSun1+11)=3),MarSun1+11,""),IF(AND(YEAR(MarSun1+18)=CalendarYear,MONTH(MarSun1+18)=3),MarSun1+18,""))</f>
        <v>44637</v>
      </c>
      <c r="J34" s="149" t="s">
        <v>29</v>
      </c>
      <c r="K34" s="176" t="s">
        <v>292</v>
      </c>
      <c r="L34" s="149" t="s">
        <v>29</v>
      </c>
      <c r="M34" s="150">
        <f>IF(DAY(MarSun1)=1,IF(AND(YEAR(MarSun1+13)=CalendarYear,MONTH(MarSun1+13)=3),MarSun1+13,""),IF(AND(YEAR(MarSun1+20)=CalendarYear,MONTH(MarSun1+20)=3),MarSun1+20,""))</f>
        <v>44639</v>
      </c>
      <c r="N34" s="149" t="s">
        <v>29</v>
      </c>
      <c r="O34" s="150">
        <f>IF(DAY(MarSun1)=1,IF(AND(YEAR(MarSun1+14)=CalendarYear,MONTH(MarSun1+14)=3),MarSun1+14,""),IF(AND(YEAR(MarSun1+21)=CalendarYear,MONTH(MarSun1+21)=3),MarSun1+21,""))</f>
        <v>44640</v>
      </c>
      <c r="P34" s="149" t="s">
        <v>29</v>
      </c>
      <c r="Q34" s="151"/>
      <c r="T34" s="152"/>
      <c r="U34" s="153"/>
    </row>
    <row r="35" spans="2:21" s="154" customFormat="1" ht="17.5" customHeight="1" x14ac:dyDescent="0.55000000000000004">
      <c r="B35" s="155" t="s">
        <v>1</v>
      </c>
      <c r="C35" s="156" t="s">
        <v>31</v>
      </c>
      <c r="D35" s="157"/>
      <c r="E35" s="156" t="s">
        <v>42</v>
      </c>
      <c r="F35" s="157"/>
      <c r="G35" s="158" t="s">
        <v>45</v>
      </c>
      <c r="H35" s="157"/>
      <c r="I35" s="158" t="s">
        <v>105</v>
      </c>
      <c r="J35" s="157"/>
      <c r="K35" s="186" t="s">
        <v>191</v>
      </c>
      <c r="L35" s="157"/>
      <c r="M35" s="158" t="s">
        <v>44</v>
      </c>
      <c r="N35" s="157"/>
      <c r="O35" s="158" t="s">
        <v>32</v>
      </c>
      <c r="P35" s="157"/>
      <c r="Q35" s="159"/>
    </row>
    <row r="36" spans="2:21" s="154" customFormat="1" ht="17.5" customHeight="1" x14ac:dyDescent="0.55000000000000004">
      <c r="B36" s="155"/>
      <c r="C36" s="160"/>
      <c r="D36" s="161"/>
      <c r="E36" s="160"/>
      <c r="F36" s="161"/>
      <c r="G36" s="162"/>
      <c r="H36" s="161"/>
      <c r="I36" s="162"/>
      <c r="J36" s="161"/>
      <c r="K36" s="177"/>
      <c r="L36" s="161"/>
      <c r="M36" s="162"/>
      <c r="N36" s="161"/>
      <c r="O36" s="162"/>
      <c r="P36" s="161"/>
      <c r="Q36" s="159"/>
    </row>
    <row r="37" spans="2:21" s="154" customFormat="1" ht="17.5" customHeight="1" x14ac:dyDescent="0.55000000000000004">
      <c r="B37" s="155" t="s">
        <v>3</v>
      </c>
      <c r="C37" s="160" t="s">
        <v>149</v>
      </c>
      <c r="D37" s="161"/>
      <c r="E37" s="160" t="s">
        <v>287</v>
      </c>
      <c r="F37" s="161"/>
      <c r="G37" s="162" t="s">
        <v>283</v>
      </c>
      <c r="H37" s="161"/>
      <c r="I37" s="162" t="s">
        <v>162</v>
      </c>
      <c r="J37" s="161"/>
      <c r="K37" s="172" t="s">
        <v>156</v>
      </c>
      <c r="L37" s="161"/>
      <c r="M37" s="162" t="s">
        <v>304</v>
      </c>
      <c r="N37" s="161"/>
      <c r="O37" s="162" t="s">
        <v>32</v>
      </c>
      <c r="P37" s="161"/>
      <c r="Q37" s="159"/>
    </row>
    <row r="38" spans="2:21" s="154" customFormat="1" ht="17.5" customHeight="1" x14ac:dyDescent="0.55000000000000004">
      <c r="B38" s="155"/>
      <c r="C38" s="160"/>
      <c r="D38" s="161"/>
      <c r="E38" s="160"/>
      <c r="F38" s="161"/>
      <c r="G38" s="162"/>
      <c r="H38" s="161"/>
      <c r="I38" s="162"/>
      <c r="J38" s="161"/>
      <c r="K38" s="177"/>
      <c r="L38" s="161"/>
      <c r="M38" s="162"/>
      <c r="N38" s="161"/>
      <c r="O38" s="162"/>
      <c r="P38" s="161"/>
      <c r="Q38" s="159"/>
    </row>
    <row r="39" spans="2:21" s="154" customFormat="1" ht="17.5" customHeight="1" x14ac:dyDescent="0.55000000000000004">
      <c r="B39" s="155" t="s">
        <v>4</v>
      </c>
      <c r="C39" s="160" t="s">
        <v>53</v>
      </c>
      <c r="D39" s="161"/>
      <c r="E39" s="160" t="s">
        <v>77</v>
      </c>
      <c r="F39" s="161"/>
      <c r="G39" s="162" t="s">
        <v>281</v>
      </c>
      <c r="H39" s="161"/>
      <c r="I39" s="162" t="s">
        <v>160</v>
      </c>
      <c r="J39" s="161"/>
      <c r="K39" s="187" t="s">
        <v>213</v>
      </c>
      <c r="L39" s="161"/>
      <c r="M39" s="162" t="s">
        <v>53</v>
      </c>
      <c r="N39" s="161"/>
      <c r="O39" s="162" t="s">
        <v>32</v>
      </c>
      <c r="P39" s="161"/>
      <c r="Q39" s="159"/>
    </row>
    <row r="40" spans="2:21" s="154" customFormat="1" ht="17.5" customHeight="1" x14ac:dyDescent="0.55000000000000004">
      <c r="B40" s="155"/>
      <c r="C40" s="160"/>
      <c r="D40" s="161"/>
      <c r="E40" s="160"/>
      <c r="F40" s="161"/>
      <c r="G40" s="162"/>
      <c r="H40" s="161"/>
      <c r="I40" s="162"/>
      <c r="J40" s="161"/>
      <c r="K40" s="177"/>
      <c r="L40" s="161"/>
      <c r="M40" s="162"/>
      <c r="N40" s="161"/>
      <c r="O40" s="162"/>
      <c r="P40" s="161"/>
      <c r="Q40" s="159"/>
    </row>
    <row r="41" spans="2:21" s="154" customFormat="1" ht="17.5" customHeight="1" x14ac:dyDescent="0.55000000000000004">
      <c r="B41" s="155" t="s">
        <v>30</v>
      </c>
      <c r="C41" s="160" t="s">
        <v>57</v>
      </c>
      <c r="D41" s="161"/>
      <c r="E41" s="160" t="s">
        <v>85</v>
      </c>
      <c r="F41" s="161"/>
      <c r="G41" s="162" t="s">
        <v>38</v>
      </c>
      <c r="H41" s="161"/>
      <c r="I41" s="162" t="s">
        <v>289</v>
      </c>
      <c r="J41" s="161"/>
      <c r="K41" s="172" t="s">
        <v>291</v>
      </c>
      <c r="L41" s="161"/>
      <c r="M41" s="162" t="s">
        <v>38</v>
      </c>
      <c r="N41" s="161"/>
      <c r="O41" s="162" t="s">
        <v>32</v>
      </c>
      <c r="P41" s="161"/>
      <c r="Q41" s="159"/>
    </row>
    <row r="42" spans="2:21" s="154" customFormat="1" ht="17.5" customHeight="1" x14ac:dyDescent="0.55000000000000004">
      <c r="B42" s="155"/>
      <c r="C42" s="160"/>
      <c r="D42" s="161"/>
      <c r="E42" s="160"/>
      <c r="F42" s="161"/>
      <c r="G42" s="162"/>
      <c r="H42" s="161"/>
      <c r="I42" s="162"/>
      <c r="J42" s="161"/>
      <c r="K42" s="177"/>
      <c r="L42" s="161"/>
      <c r="M42" s="162"/>
      <c r="N42" s="161"/>
      <c r="O42" s="162"/>
      <c r="P42" s="161"/>
      <c r="Q42" s="159"/>
    </row>
    <row r="43" spans="2:21" s="154" customFormat="1" ht="17.5" customHeight="1" x14ac:dyDescent="0.55000000000000004">
      <c r="B43" s="155" t="s">
        <v>6</v>
      </c>
      <c r="C43" s="160" t="s">
        <v>63</v>
      </c>
      <c r="D43" s="161"/>
      <c r="E43" s="160" t="s">
        <v>288</v>
      </c>
      <c r="F43" s="161"/>
      <c r="G43" s="162" t="s">
        <v>66</v>
      </c>
      <c r="H43" s="161"/>
      <c r="I43" s="162" t="s">
        <v>121</v>
      </c>
      <c r="J43" s="161"/>
      <c r="K43" s="177" t="s">
        <v>219</v>
      </c>
      <c r="L43" s="161"/>
      <c r="M43" s="162" t="s">
        <v>40</v>
      </c>
      <c r="N43" s="161"/>
      <c r="O43" s="162" t="s">
        <v>32</v>
      </c>
      <c r="P43" s="161"/>
      <c r="Q43" s="159"/>
    </row>
    <row r="44" spans="2:21" s="154" customFormat="1" ht="17.5" customHeight="1" x14ac:dyDescent="0.55000000000000004">
      <c r="B44" s="155"/>
      <c r="C44" s="160"/>
      <c r="D44" s="161"/>
      <c r="E44" s="160"/>
      <c r="F44" s="161"/>
      <c r="G44" s="162"/>
      <c r="H44" s="161"/>
      <c r="I44" s="162"/>
      <c r="J44" s="161"/>
      <c r="K44" s="162"/>
      <c r="L44" s="161"/>
      <c r="M44" s="162"/>
      <c r="N44" s="161"/>
      <c r="O44" s="162"/>
      <c r="P44" s="161"/>
      <c r="Q44" s="159"/>
    </row>
    <row r="45" spans="2:21" s="154" customFormat="1" ht="17.5" customHeight="1" x14ac:dyDescent="0.55000000000000004">
      <c r="B45" s="155"/>
      <c r="C45" s="160"/>
      <c r="D45" s="161"/>
      <c r="E45" s="160"/>
      <c r="F45" s="161"/>
      <c r="G45" s="162"/>
      <c r="H45" s="161"/>
      <c r="I45" s="162"/>
      <c r="J45" s="161"/>
      <c r="K45" s="162"/>
      <c r="L45" s="161"/>
      <c r="M45" s="162"/>
      <c r="N45" s="161"/>
      <c r="O45" s="162"/>
      <c r="P45" s="161"/>
      <c r="Q45" s="159"/>
    </row>
    <row r="46" spans="2:21" s="154" customFormat="1" ht="17.5" customHeight="1" x14ac:dyDescent="0.55000000000000004">
      <c r="B46" s="163"/>
      <c r="C46" s="164"/>
      <c r="D46" s="165"/>
      <c r="E46" s="164"/>
      <c r="F46" s="165"/>
      <c r="G46" s="166"/>
      <c r="H46" s="165"/>
      <c r="I46" s="166"/>
      <c r="J46" s="165"/>
      <c r="K46" s="166"/>
      <c r="L46" s="165"/>
      <c r="M46" s="166"/>
      <c r="N46" s="165"/>
      <c r="O46" s="166"/>
      <c r="P46" s="165"/>
      <c r="Q46" s="159"/>
    </row>
    <row r="47" spans="2:21" s="146" customFormat="1" ht="18" customHeight="1" x14ac:dyDescent="0.3">
      <c r="B47" s="147"/>
      <c r="C47" s="148">
        <f>IF(DAY(MarSun1)=1,IF(AND(YEAR(MarSun1+15)=CalendarYear,MONTH(MarSun1+15)=3),MarSun1+15,""),IF(AND(YEAR(MarSun1+22)=CalendarYear,MONTH(MarSun1+22)=3),MarSun1+22,""))</f>
        <v>44641</v>
      </c>
      <c r="D47" s="149" t="s">
        <v>29</v>
      </c>
      <c r="E47" s="148">
        <f>IF(DAY(MarSun1)=1,IF(AND(YEAR(MarSun1+16)=CalendarYear,MONTH(MarSun1+16)=3),MarSun1+16,""),IF(AND(YEAR(MarSun1+23)=CalendarYear,MONTH(MarSun1+23)=3),MarSun1+23,""))</f>
        <v>44642</v>
      </c>
      <c r="F47" s="149" t="s">
        <v>29</v>
      </c>
      <c r="G47" s="150">
        <f>IF(DAY(MarSun1)=1,IF(AND(YEAR(MarSun1+17)=CalendarYear,MONTH(MarSun1+17)=3),MarSun1+17,""),IF(AND(YEAR(MarSun1+24)=CalendarYear,MONTH(MarSun1+24)=3),MarSun1+24,""))</f>
        <v>44643</v>
      </c>
      <c r="H47" s="149" t="s">
        <v>29</v>
      </c>
      <c r="I47" s="150">
        <f>IF(DAY(MarSun1)=1,IF(AND(YEAR(MarSun1+18)=CalendarYear,MONTH(MarSun1+18)=3),MarSun1+18,""),IF(AND(YEAR(MarSun1+25)=CalendarYear,MONTH(MarSun1+25)=3),MarSun1+25,""))</f>
        <v>44644</v>
      </c>
      <c r="J47" s="149" t="s">
        <v>29</v>
      </c>
      <c r="K47" s="150">
        <f>IF(DAY(MarSun1)=1,IF(AND(YEAR(MarSun1+19)=CalendarYear,MONTH(MarSun1+19)=3),MarSun1+19,""),IF(AND(YEAR(MarSun1+26)=CalendarYear,MONTH(MarSun1+26)=3),MarSun1+26,""))</f>
        <v>44645</v>
      </c>
      <c r="L47" s="149" t="s">
        <v>29</v>
      </c>
      <c r="M47" s="150">
        <f>IF(DAY(MarSun1)=1,IF(AND(YEAR(MarSun1+20)=CalendarYear,MONTH(MarSun1+20)=3),MarSun1+20,""),IF(AND(YEAR(MarSun1+27)=CalendarYear,MONTH(MarSun1+27)=3),MarSun1+27,""))</f>
        <v>44646</v>
      </c>
      <c r="N47" s="149" t="s">
        <v>29</v>
      </c>
      <c r="O47" s="150">
        <f>IF(DAY(MarSun1)=1,IF(AND(YEAR(MarSun1+21)=CalendarYear,MONTH(MarSun1+21)=3),MarSun1+21,""),IF(AND(YEAR(MarSun1+28)=CalendarYear,MONTH(MarSun1+28)=3),MarSun1+28,""))</f>
        <v>44647</v>
      </c>
      <c r="P47" s="149" t="s">
        <v>29</v>
      </c>
      <c r="Q47" s="151"/>
      <c r="T47" s="152"/>
      <c r="U47" s="153"/>
    </row>
    <row r="48" spans="2:21" s="154" customFormat="1" ht="17.5" customHeight="1" x14ac:dyDescent="0.55000000000000004">
      <c r="B48" s="155" t="s">
        <v>1</v>
      </c>
      <c r="C48" s="167" t="s">
        <v>165</v>
      </c>
      <c r="D48" s="168"/>
      <c r="E48" s="167" t="s">
        <v>42</v>
      </c>
      <c r="F48" s="168"/>
      <c r="G48" s="169" t="s">
        <v>155</v>
      </c>
      <c r="H48" s="168"/>
      <c r="I48" s="169" t="s">
        <v>295</v>
      </c>
      <c r="J48" s="168"/>
      <c r="K48" s="169" t="s">
        <v>68</v>
      </c>
      <c r="L48" s="168"/>
      <c r="M48" s="169" t="s">
        <v>89</v>
      </c>
      <c r="N48" s="168"/>
      <c r="O48" s="169" t="s">
        <v>141</v>
      </c>
      <c r="P48" s="168"/>
      <c r="Q48" s="159"/>
    </row>
    <row r="49" spans="2:21" s="154" customFormat="1" ht="17.5" customHeight="1" x14ac:dyDescent="0.55000000000000004">
      <c r="B49" s="155"/>
      <c r="C49" s="170"/>
      <c r="D49" s="171"/>
      <c r="E49" s="170"/>
      <c r="F49" s="171"/>
      <c r="G49" s="172"/>
      <c r="H49" s="171"/>
      <c r="I49" s="172"/>
      <c r="J49" s="171"/>
      <c r="K49" s="172"/>
      <c r="L49" s="171"/>
      <c r="M49" s="172"/>
      <c r="N49" s="171"/>
      <c r="O49" s="172"/>
      <c r="P49" s="171"/>
      <c r="Q49" s="159"/>
    </row>
    <row r="50" spans="2:21" s="154" customFormat="1" ht="17.5" customHeight="1" x14ac:dyDescent="0.55000000000000004">
      <c r="B50" s="155" t="s">
        <v>3</v>
      </c>
      <c r="C50" s="170" t="s">
        <v>293</v>
      </c>
      <c r="D50" s="171"/>
      <c r="E50" s="170" t="s">
        <v>294</v>
      </c>
      <c r="F50" s="171"/>
      <c r="G50" s="172" t="s">
        <v>296</v>
      </c>
      <c r="H50" s="171"/>
      <c r="I50" s="172" t="s">
        <v>262</v>
      </c>
      <c r="J50" s="171"/>
      <c r="K50" s="172" t="s">
        <v>163</v>
      </c>
      <c r="L50" s="171"/>
      <c r="M50" s="172" t="s">
        <v>298</v>
      </c>
      <c r="N50" s="171"/>
      <c r="O50" s="172" t="s">
        <v>32</v>
      </c>
      <c r="P50" s="171"/>
      <c r="Q50" s="159"/>
    </row>
    <row r="51" spans="2:21" s="154" customFormat="1" ht="17.5" customHeight="1" x14ac:dyDescent="0.55000000000000004">
      <c r="B51" s="155"/>
      <c r="C51" s="170"/>
      <c r="D51" s="171"/>
      <c r="E51" s="170"/>
      <c r="F51" s="171"/>
      <c r="G51" s="172"/>
      <c r="H51" s="171"/>
      <c r="I51" s="172"/>
      <c r="J51" s="171"/>
      <c r="K51" s="172"/>
      <c r="L51" s="171"/>
      <c r="M51" s="172"/>
      <c r="N51" s="171"/>
      <c r="O51" s="172"/>
      <c r="P51" s="171"/>
      <c r="Q51" s="159"/>
    </row>
    <row r="52" spans="2:21" s="154" customFormat="1" ht="17.5" customHeight="1" x14ac:dyDescent="0.55000000000000004">
      <c r="B52" s="155" t="s">
        <v>4</v>
      </c>
      <c r="C52" s="170" t="s">
        <v>281</v>
      </c>
      <c r="D52" s="171"/>
      <c r="E52" s="170" t="s">
        <v>53</v>
      </c>
      <c r="F52" s="171"/>
      <c r="G52" s="172" t="s">
        <v>56</v>
      </c>
      <c r="H52" s="171"/>
      <c r="I52" s="172" t="s">
        <v>38</v>
      </c>
      <c r="J52" s="171"/>
      <c r="K52" s="172" t="s">
        <v>201</v>
      </c>
      <c r="L52" s="171"/>
      <c r="M52" s="172" t="s">
        <v>77</v>
      </c>
      <c r="N52" s="171"/>
      <c r="O52" s="172" t="s">
        <v>32</v>
      </c>
      <c r="P52" s="171"/>
      <c r="Q52" s="159"/>
    </row>
    <row r="53" spans="2:21" s="154" customFormat="1" ht="17.5" customHeight="1" x14ac:dyDescent="0.55000000000000004">
      <c r="B53" s="155"/>
      <c r="C53" s="170"/>
      <c r="D53" s="171"/>
      <c r="E53" s="170"/>
      <c r="F53" s="171"/>
      <c r="G53" s="172"/>
      <c r="H53" s="171"/>
      <c r="I53" s="172"/>
      <c r="J53" s="171"/>
      <c r="K53" s="172"/>
      <c r="L53" s="171"/>
      <c r="M53" s="172"/>
      <c r="N53" s="171"/>
      <c r="O53" s="172"/>
      <c r="P53" s="171"/>
      <c r="Q53" s="159"/>
    </row>
    <row r="54" spans="2:21" s="154" customFormat="1" ht="17.5" customHeight="1" x14ac:dyDescent="0.55000000000000004">
      <c r="B54" s="155" t="s">
        <v>30</v>
      </c>
      <c r="C54" s="170" t="s">
        <v>57</v>
      </c>
      <c r="D54" s="171"/>
      <c r="E54" s="170" t="s">
        <v>38</v>
      </c>
      <c r="F54" s="171"/>
      <c r="G54" s="172" t="s">
        <v>85</v>
      </c>
      <c r="H54" s="171"/>
      <c r="I54" s="172" t="s">
        <v>305</v>
      </c>
      <c r="J54" s="171"/>
      <c r="K54" s="172" t="s">
        <v>38</v>
      </c>
      <c r="L54" s="171"/>
      <c r="M54" s="172" t="s">
        <v>38</v>
      </c>
      <c r="N54" s="171"/>
      <c r="O54" s="172" t="s">
        <v>32</v>
      </c>
      <c r="P54" s="171"/>
      <c r="Q54" s="159"/>
    </row>
    <row r="55" spans="2:21" s="154" customFormat="1" ht="17.5" customHeight="1" x14ac:dyDescent="0.55000000000000004">
      <c r="B55" s="155"/>
      <c r="C55" s="170"/>
      <c r="D55" s="171"/>
      <c r="E55" s="170"/>
      <c r="F55" s="171"/>
      <c r="G55" s="172"/>
      <c r="H55" s="171"/>
      <c r="I55" s="172"/>
      <c r="J55" s="171"/>
      <c r="K55" s="172"/>
      <c r="L55" s="171"/>
      <c r="M55" s="172"/>
      <c r="N55" s="171"/>
      <c r="O55" s="172"/>
      <c r="P55" s="171"/>
      <c r="Q55" s="159"/>
    </row>
    <row r="56" spans="2:21" s="154" customFormat="1" ht="17.5" customHeight="1" x14ac:dyDescent="0.55000000000000004">
      <c r="B56" s="155" t="s">
        <v>6</v>
      </c>
      <c r="C56" s="170" t="s">
        <v>40</v>
      </c>
      <c r="D56" s="171"/>
      <c r="E56" s="170" t="s">
        <v>122</v>
      </c>
      <c r="F56" s="171"/>
      <c r="G56" s="172" t="s">
        <v>66</v>
      </c>
      <c r="H56" s="171"/>
      <c r="I56" s="172" t="s">
        <v>119</v>
      </c>
      <c r="J56" s="171"/>
      <c r="K56" s="172" t="s">
        <v>297</v>
      </c>
      <c r="L56" s="171"/>
      <c r="M56" s="172" t="s">
        <v>40</v>
      </c>
      <c r="N56" s="171"/>
      <c r="O56" s="172" t="s">
        <v>32</v>
      </c>
      <c r="P56" s="171"/>
      <c r="Q56" s="159"/>
    </row>
    <row r="57" spans="2:21" s="154" customFormat="1" ht="17.5" customHeight="1" x14ac:dyDescent="0.55000000000000004">
      <c r="B57" s="155"/>
      <c r="C57" s="170"/>
      <c r="D57" s="171"/>
      <c r="E57" s="170"/>
      <c r="F57" s="171"/>
      <c r="G57" s="172"/>
      <c r="H57" s="171"/>
      <c r="I57" s="172"/>
      <c r="J57" s="171"/>
      <c r="K57" s="172"/>
      <c r="L57" s="171"/>
      <c r="M57" s="172"/>
      <c r="N57" s="171"/>
      <c r="O57" s="172"/>
      <c r="P57" s="171"/>
      <c r="Q57" s="159"/>
    </row>
    <row r="58" spans="2:21" s="154" customFormat="1" ht="17.5" customHeight="1" x14ac:dyDescent="0.55000000000000004">
      <c r="B58" s="155"/>
      <c r="C58" s="170"/>
      <c r="D58" s="171"/>
      <c r="E58" s="170"/>
      <c r="F58" s="171"/>
      <c r="G58" s="172"/>
      <c r="H58" s="171"/>
      <c r="I58" s="172"/>
      <c r="J58" s="171"/>
      <c r="K58" s="172"/>
      <c r="L58" s="171"/>
      <c r="M58" s="172"/>
      <c r="N58" s="171"/>
      <c r="O58" s="172"/>
      <c r="P58" s="171"/>
      <c r="Q58" s="159"/>
    </row>
    <row r="59" spans="2:21" s="154" customFormat="1" ht="17.5" customHeight="1" x14ac:dyDescent="0.55000000000000004">
      <c r="B59" s="163"/>
      <c r="C59" s="173"/>
      <c r="D59" s="174"/>
      <c r="E59" s="173"/>
      <c r="F59" s="174"/>
      <c r="G59" s="175"/>
      <c r="H59" s="174"/>
      <c r="I59" s="175"/>
      <c r="J59" s="174"/>
      <c r="K59" s="175"/>
      <c r="L59" s="174"/>
      <c r="M59" s="175"/>
      <c r="N59" s="174"/>
      <c r="O59" s="175"/>
      <c r="P59" s="174"/>
      <c r="Q59" s="159"/>
    </row>
    <row r="60" spans="2:21" s="146" customFormat="1" ht="18" customHeight="1" x14ac:dyDescent="0.3">
      <c r="B60" s="147"/>
      <c r="C60" s="148">
        <f>IF(DAY(MarSun1)=1,IF(AND(YEAR(MarSun1+22)=CalendarYear,MONTH(MarSun1+22)=3),MarSun1+22,""),IF(AND(YEAR(MarSun1+29)=CalendarYear,MONTH(MarSun1+29)=3),MarSun1+29,""))</f>
        <v>44648</v>
      </c>
      <c r="D60" s="149" t="s">
        <v>29</v>
      </c>
      <c r="E60" s="148">
        <f>IF(DAY(MarSun1)=1,IF(AND(YEAR(MarSun1+23)=CalendarYear,MONTH(MarSun1+23)=3),MarSun1+23,""),IF(AND(YEAR(MarSun1+30)=CalendarYear,MONTH(MarSun1+30)=3),MarSun1+30,""))</f>
        <v>44649</v>
      </c>
      <c r="F60" s="149" t="s">
        <v>29</v>
      </c>
      <c r="G60" s="150">
        <f>IF(DAY(MarSun1)=1,IF(AND(YEAR(MarSun1+24)=CalendarYear,MONTH(MarSun1+24)=3),MarSun1+24,""),IF(AND(YEAR(MarSun1+31)=CalendarYear,MONTH(MarSun1+31)=3),MarSun1+31,""))</f>
        <v>44650</v>
      </c>
      <c r="H60" s="149" t="s">
        <v>29</v>
      </c>
      <c r="I60" s="150">
        <f>IF(DAY(MarSun1)=1,IF(AND(YEAR(MarSun1+25)=CalendarYear,MONTH(MarSun1+25)=3),MarSun1+25,""),IF(AND(YEAR(MarSun1+32)=CalendarYear,MONTH(MarSun1+32)=3),MarSun1+32,""))</f>
        <v>44651</v>
      </c>
      <c r="J60" s="149" t="s">
        <v>29</v>
      </c>
      <c r="K60" s="150" t="str">
        <f>IF(DAY(MarSun1)=1,IF(AND(YEAR(MarSun1+26)=CalendarYear,MONTH(MarSun1+26)=3),MarSun1+26,""),IF(AND(YEAR(MarSun1+33)=CalendarYear,MONTH(MarSun1+33)=3),MarSun1+33,""))</f>
        <v/>
      </c>
      <c r="L60" s="149" t="s">
        <v>29</v>
      </c>
      <c r="M60" s="150" t="str">
        <f>IF(DAY(MarSun1)=1,IF(AND(YEAR(MarSun1+27)=CalendarYear,MONTH(MarSun1+27)=3),MarSun1+27,""),IF(AND(YEAR(MarSun1+34)=CalendarYear,MONTH(MarSun1+34)=3),MarSun1+34,""))</f>
        <v/>
      </c>
      <c r="N60" s="149" t="s">
        <v>29</v>
      </c>
      <c r="O60" s="150" t="str">
        <f>IF(DAY(MarSun1)=1,IF(AND(YEAR(MarSun1+28)=CalendarYear,MONTH(MarSun1+28)=3),MarSun1+28,""),IF(AND(YEAR(MarSun1+35)=CalendarYear,MONTH(MarSun1+35)=3),MarSun1+35,""))</f>
        <v/>
      </c>
      <c r="P60" s="149" t="s">
        <v>29</v>
      </c>
      <c r="Q60" s="151"/>
      <c r="T60" s="152"/>
      <c r="U60" s="153"/>
    </row>
    <row r="61" spans="2:21" s="154" customFormat="1" ht="17.5" customHeight="1" x14ac:dyDescent="0.55000000000000004">
      <c r="B61" s="155" t="s">
        <v>1</v>
      </c>
      <c r="C61" s="156" t="s">
        <v>161</v>
      </c>
      <c r="D61" s="157"/>
      <c r="E61" s="156" t="s">
        <v>105</v>
      </c>
      <c r="F61" s="157"/>
      <c r="G61" s="158" t="s">
        <v>31</v>
      </c>
      <c r="H61" s="157"/>
      <c r="I61" s="158" t="s">
        <v>45</v>
      </c>
      <c r="J61" s="157"/>
      <c r="K61" s="158"/>
      <c r="L61" s="157"/>
      <c r="M61" s="158"/>
      <c r="N61" s="157"/>
      <c r="O61" s="158"/>
      <c r="P61" s="157"/>
      <c r="Q61" s="159"/>
    </row>
    <row r="62" spans="2:21" s="154" customFormat="1" ht="17.5" customHeight="1" x14ac:dyDescent="0.55000000000000004">
      <c r="B62" s="155"/>
      <c r="C62" s="160"/>
      <c r="D62" s="161"/>
      <c r="E62" s="160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59"/>
    </row>
    <row r="63" spans="2:21" s="154" customFormat="1" ht="17.5" customHeight="1" x14ac:dyDescent="0.55000000000000004">
      <c r="B63" s="155" t="s">
        <v>3</v>
      </c>
      <c r="C63" s="160" t="s">
        <v>250</v>
      </c>
      <c r="D63" s="161"/>
      <c r="E63" s="160" t="s">
        <v>299</v>
      </c>
      <c r="F63" s="161"/>
      <c r="G63" s="162" t="s">
        <v>290</v>
      </c>
      <c r="H63" s="161"/>
      <c r="I63" s="162" t="s">
        <v>301</v>
      </c>
      <c r="J63" s="161"/>
      <c r="K63" s="162"/>
      <c r="L63" s="161"/>
      <c r="M63" s="162"/>
      <c r="N63" s="161"/>
      <c r="O63" s="162"/>
      <c r="P63" s="161"/>
      <c r="Q63" s="159"/>
    </row>
    <row r="64" spans="2:21" s="154" customFormat="1" ht="17.5" customHeight="1" x14ac:dyDescent="0.55000000000000004">
      <c r="B64" s="155"/>
      <c r="C64" s="160"/>
      <c r="D64" s="161"/>
      <c r="E64" s="160"/>
      <c r="F64" s="161"/>
      <c r="G64" s="162"/>
      <c r="H64" s="161"/>
      <c r="I64" s="162"/>
      <c r="J64" s="161"/>
      <c r="K64" s="162"/>
      <c r="L64" s="161"/>
      <c r="M64" s="162"/>
      <c r="N64" s="161"/>
      <c r="O64" s="162"/>
      <c r="P64" s="161"/>
      <c r="Q64" s="159"/>
    </row>
    <row r="65" spans="1:21" s="154" customFormat="1" ht="17.5" customHeight="1" x14ac:dyDescent="0.55000000000000004">
      <c r="B65" s="155" t="s">
        <v>4</v>
      </c>
      <c r="C65" s="160" t="s">
        <v>96</v>
      </c>
      <c r="D65" s="161"/>
      <c r="E65" s="160" t="s">
        <v>306</v>
      </c>
      <c r="F65" s="161"/>
      <c r="G65" s="162" t="s">
        <v>201</v>
      </c>
      <c r="H65" s="161"/>
      <c r="I65" s="162" t="s">
        <v>53</v>
      </c>
      <c r="J65" s="161"/>
      <c r="K65" s="162"/>
      <c r="L65" s="161"/>
      <c r="M65" s="162"/>
      <c r="N65" s="161"/>
      <c r="O65" s="162"/>
      <c r="P65" s="161"/>
      <c r="Q65" s="159"/>
    </row>
    <row r="66" spans="1:21" s="154" customFormat="1" ht="17.5" customHeight="1" x14ac:dyDescent="0.55000000000000004">
      <c r="B66" s="155"/>
      <c r="C66" s="160"/>
      <c r="D66" s="161"/>
      <c r="E66" s="160"/>
      <c r="F66" s="161"/>
      <c r="G66" s="162"/>
      <c r="H66" s="161"/>
      <c r="I66" s="162"/>
      <c r="J66" s="161"/>
      <c r="K66" s="162"/>
      <c r="L66" s="161"/>
      <c r="M66" s="162"/>
      <c r="N66" s="161"/>
      <c r="O66" s="162"/>
      <c r="P66" s="161"/>
      <c r="Q66" s="159"/>
    </row>
    <row r="67" spans="1:21" s="154" customFormat="1" ht="17.5" customHeight="1" x14ac:dyDescent="0.55000000000000004">
      <c r="B67" s="155" t="s">
        <v>30</v>
      </c>
      <c r="C67" s="160" t="s">
        <v>40</v>
      </c>
      <c r="D67" s="161"/>
      <c r="E67" s="160" t="s">
        <v>38</v>
      </c>
      <c r="F67" s="161"/>
      <c r="G67" s="162" t="s">
        <v>176</v>
      </c>
      <c r="H67" s="161"/>
      <c r="I67" s="162" t="s">
        <v>38</v>
      </c>
      <c r="J67" s="161"/>
      <c r="K67" s="162"/>
      <c r="L67" s="161"/>
      <c r="M67" s="162"/>
      <c r="N67" s="161"/>
      <c r="O67" s="162"/>
      <c r="P67" s="161"/>
      <c r="Q67" s="159"/>
    </row>
    <row r="68" spans="1:21" s="154" customFormat="1" ht="17.5" customHeight="1" x14ac:dyDescent="0.55000000000000004">
      <c r="B68" s="155"/>
      <c r="C68" s="160"/>
      <c r="D68" s="161"/>
      <c r="E68" s="160"/>
      <c r="F68" s="161"/>
      <c r="G68" s="162"/>
      <c r="H68" s="161"/>
      <c r="I68" s="162"/>
      <c r="J68" s="161"/>
      <c r="K68" s="162"/>
      <c r="L68" s="161"/>
      <c r="M68" s="162"/>
      <c r="N68" s="161"/>
      <c r="O68" s="162"/>
      <c r="P68" s="161"/>
      <c r="Q68" s="159"/>
    </row>
    <row r="69" spans="1:21" s="154" customFormat="1" ht="17.5" customHeight="1" x14ac:dyDescent="0.55000000000000004">
      <c r="B69" s="155" t="s">
        <v>6</v>
      </c>
      <c r="C69" s="160" t="s">
        <v>57</v>
      </c>
      <c r="D69" s="161"/>
      <c r="E69" s="160" t="s">
        <v>122</v>
      </c>
      <c r="F69" s="161"/>
      <c r="G69" s="162" t="s">
        <v>300</v>
      </c>
      <c r="H69" s="161"/>
      <c r="I69" s="162" t="s">
        <v>82</v>
      </c>
      <c r="J69" s="161"/>
      <c r="K69" s="162"/>
      <c r="L69" s="161"/>
      <c r="M69" s="162"/>
      <c r="N69" s="161"/>
      <c r="O69" s="162"/>
      <c r="P69" s="161"/>
      <c r="Q69" s="159"/>
    </row>
    <row r="70" spans="1:21" s="154" customFormat="1" ht="17.5" customHeight="1" x14ac:dyDescent="0.55000000000000004">
      <c r="B70" s="155"/>
      <c r="C70" s="160"/>
      <c r="D70" s="161"/>
      <c r="E70" s="160"/>
      <c r="F70" s="161"/>
      <c r="G70" s="162"/>
      <c r="H70" s="161"/>
      <c r="I70" s="162"/>
      <c r="J70" s="161"/>
      <c r="K70" s="162"/>
      <c r="L70" s="161"/>
      <c r="M70" s="162"/>
      <c r="N70" s="161"/>
      <c r="O70" s="162"/>
      <c r="P70" s="161"/>
      <c r="Q70" s="159"/>
    </row>
    <row r="71" spans="1:21" s="154" customFormat="1" ht="17.5" customHeight="1" x14ac:dyDescent="0.55000000000000004">
      <c r="B71" s="155"/>
      <c r="C71" s="160"/>
      <c r="D71" s="161"/>
      <c r="E71" s="160"/>
      <c r="F71" s="161"/>
      <c r="G71" s="162"/>
      <c r="H71" s="161"/>
      <c r="I71" s="162"/>
      <c r="J71" s="161"/>
      <c r="K71" s="162"/>
      <c r="L71" s="161"/>
      <c r="M71" s="162"/>
      <c r="N71" s="161"/>
      <c r="O71" s="162"/>
      <c r="P71" s="161"/>
      <c r="Q71" s="159"/>
    </row>
    <row r="72" spans="1:21" s="154" customFormat="1" ht="17.5" customHeight="1" x14ac:dyDescent="0.55000000000000004">
      <c r="B72" s="163"/>
      <c r="C72" s="164"/>
      <c r="D72" s="165"/>
      <c r="E72" s="164"/>
      <c r="F72" s="165"/>
      <c r="G72" s="166"/>
      <c r="H72" s="165"/>
      <c r="I72" s="166"/>
      <c r="J72" s="165"/>
      <c r="K72" s="166"/>
      <c r="L72" s="165"/>
      <c r="M72" s="166"/>
      <c r="N72" s="165"/>
      <c r="O72" s="166"/>
      <c r="P72" s="165"/>
      <c r="Q72" s="159"/>
    </row>
    <row r="73" spans="1:21" s="144" customFormat="1" ht="18" customHeight="1" x14ac:dyDescent="0.45">
      <c r="A73" s="146"/>
      <c r="B73" s="147"/>
      <c r="C73" s="148" t="str">
        <f>IF(DAY(MarSun1)=1,IF(AND(YEAR(MarSun1+29)=CalendarYear,MONTH(MarSun1+29)=3),MarSun1+29,""),IF(AND(YEAR(MarSun1+36)=CalendarYear,MONTH(MarSun1+36)=3),MarSun1+36,""))</f>
        <v/>
      </c>
      <c r="D73" s="149" t="s">
        <v>29</v>
      </c>
      <c r="E73" s="148" t="str">
        <f>IF(DAY(MarSun1)=1,IF(AND(YEAR(MarSun1+30)=CalendarYear,MONTH(MarSun1+30)=3),MarSun1+30,""),IF(AND(YEAR(MarSun1+37)=CalendarYear,MONTH(MarSun1+37)=3),MarSun1+37,""))</f>
        <v/>
      </c>
      <c r="F73" s="149" t="s">
        <v>29</v>
      </c>
      <c r="G73" s="150" t="s">
        <v>14</v>
      </c>
      <c r="H73" s="178"/>
      <c r="I73" s="179"/>
      <c r="J73" s="178"/>
      <c r="K73" s="179"/>
      <c r="L73" s="178"/>
      <c r="M73" s="179"/>
      <c r="N73" s="178"/>
      <c r="O73" s="179"/>
      <c r="P73" s="178"/>
      <c r="Q73" s="159"/>
      <c r="T73" s="154"/>
      <c r="U73" s="129"/>
    </row>
    <row r="74" spans="1:21" s="154" customFormat="1" ht="17.5" customHeight="1" x14ac:dyDescent="0.55000000000000004">
      <c r="B74" s="155" t="s">
        <v>1</v>
      </c>
      <c r="C74" s="167"/>
      <c r="D74" s="168"/>
      <c r="E74" s="167"/>
      <c r="F74" s="168"/>
      <c r="G74" s="278" t="s">
        <v>247</v>
      </c>
      <c r="H74" s="279"/>
      <c r="I74" s="279"/>
      <c r="J74" s="279"/>
      <c r="K74" s="279"/>
      <c r="L74" s="279"/>
      <c r="M74" s="279"/>
      <c r="N74" s="279"/>
      <c r="O74" s="279"/>
      <c r="P74" s="280"/>
      <c r="Q74" s="159"/>
    </row>
    <row r="75" spans="1:21" s="154" customFormat="1" ht="17.5" customHeight="1" x14ac:dyDescent="0.55000000000000004">
      <c r="B75" s="155"/>
      <c r="C75" s="170"/>
      <c r="D75" s="171"/>
      <c r="E75" s="170"/>
      <c r="F75" s="171"/>
      <c r="G75" s="281"/>
      <c r="H75" s="282"/>
      <c r="I75" s="282"/>
      <c r="J75" s="282"/>
      <c r="K75" s="282"/>
      <c r="L75" s="282"/>
      <c r="M75" s="282"/>
      <c r="N75" s="282"/>
      <c r="O75" s="282"/>
      <c r="P75" s="283"/>
      <c r="Q75" s="159"/>
    </row>
    <row r="76" spans="1:21" s="154" customFormat="1" ht="17.5" customHeight="1" x14ac:dyDescent="0.55000000000000004">
      <c r="B76" s="155" t="s">
        <v>3</v>
      </c>
      <c r="C76" s="170"/>
      <c r="D76" s="171"/>
      <c r="E76" s="170"/>
      <c r="F76" s="171"/>
      <c r="G76" s="281"/>
      <c r="H76" s="282"/>
      <c r="I76" s="282"/>
      <c r="J76" s="282"/>
      <c r="K76" s="282"/>
      <c r="L76" s="282"/>
      <c r="M76" s="282"/>
      <c r="N76" s="282"/>
      <c r="O76" s="282"/>
      <c r="P76" s="283"/>
      <c r="Q76" s="159"/>
    </row>
    <row r="77" spans="1:21" s="154" customFormat="1" ht="17.5" customHeight="1" x14ac:dyDescent="0.55000000000000004">
      <c r="B77" s="155"/>
      <c r="C77" s="170"/>
      <c r="D77" s="171"/>
      <c r="E77" s="170"/>
      <c r="F77" s="171"/>
      <c r="G77" s="281"/>
      <c r="H77" s="282"/>
      <c r="I77" s="282"/>
      <c r="J77" s="282"/>
      <c r="K77" s="282"/>
      <c r="L77" s="282"/>
      <c r="M77" s="282"/>
      <c r="N77" s="282"/>
      <c r="O77" s="282"/>
      <c r="P77" s="283"/>
      <c r="Q77" s="159"/>
    </row>
    <row r="78" spans="1:21" s="154" customFormat="1" ht="17.5" customHeight="1" x14ac:dyDescent="0.55000000000000004">
      <c r="B78" s="155" t="s">
        <v>4</v>
      </c>
      <c r="C78" s="170"/>
      <c r="D78" s="171"/>
      <c r="E78" s="170"/>
      <c r="F78" s="171"/>
      <c r="G78" s="281"/>
      <c r="H78" s="282"/>
      <c r="I78" s="282"/>
      <c r="J78" s="282"/>
      <c r="K78" s="282"/>
      <c r="L78" s="282"/>
      <c r="M78" s="282"/>
      <c r="N78" s="282"/>
      <c r="O78" s="282"/>
      <c r="P78" s="283"/>
      <c r="Q78" s="159"/>
    </row>
    <row r="79" spans="1:21" s="154" customFormat="1" ht="17.5" customHeight="1" x14ac:dyDescent="0.55000000000000004">
      <c r="B79" s="155"/>
      <c r="C79" s="170"/>
      <c r="D79" s="171"/>
      <c r="E79" s="170"/>
      <c r="F79" s="171"/>
      <c r="G79" s="281"/>
      <c r="H79" s="282"/>
      <c r="I79" s="282"/>
      <c r="J79" s="282"/>
      <c r="K79" s="282"/>
      <c r="L79" s="282"/>
      <c r="M79" s="282"/>
      <c r="N79" s="282"/>
      <c r="O79" s="282"/>
      <c r="P79" s="283"/>
      <c r="Q79" s="159"/>
    </row>
    <row r="80" spans="1:21" s="154" customFormat="1" ht="17.5" customHeight="1" x14ac:dyDescent="0.55000000000000004">
      <c r="B80" s="155" t="s">
        <v>30</v>
      </c>
      <c r="C80" s="170"/>
      <c r="D80" s="171"/>
      <c r="E80" s="170"/>
      <c r="F80" s="171"/>
      <c r="G80" s="281"/>
      <c r="H80" s="282"/>
      <c r="I80" s="282"/>
      <c r="J80" s="282"/>
      <c r="K80" s="282"/>
      <c r="L80" s="282"/>
      <c r="M80" s="282"/>
      <c r="N80" s="282"/>
      <c r="O80" s="282"/>
      <c r="P80" s="283"/>
      <c r="Q80" s="159"/>
    </row>
    <row r="81" spans="1:17" s="154" customFormat="1" ht="17.5" customHeight="1" x14ac:dyDescent="0.55000000000000004">
      <c r="B81" s="155"/>
      <c r="C81" s="170"/>
      <c r="D81" s="171"/>
      <c r="E81" s="170"/>
      <c r="F81" s="171"/>
      <c r="G81" s="281"/>
      <c r="H81" s="282"/>
      <c r="I81" s="282"/>
      <c r="J81" s="282"/>
      <c r="K81" s="282"/>
      <c r="L81" s="282"/>
      <c r="M81" s="282"/>
      <c r="N81" s="282"/>
      <c r="O81" s="282"/>
      <c r="P81" s="283"/>
      <c r="Q81" s="159"/>
    </row>
    <row r="82" spans="1:17" s="154" customFormat="1" ht="17.5" customHeight="1" x14ac:dyDescent="0.55000000000000004">
      <c r="B82" s="155" t="s">
        <v>6</v>
      </c>
      <c r="C82" s="170"/>
      <c r="D82" s="171"/>
      <c r="E82" s="170"/>
      <c r="F82" s="171"/>
      <c r="G82" s="281"/>
      <c r="H82" s="282"/>
      <c r="I82" s="282"/>
      <c r="J82" s="282"/>
      <c r="K82" s="282"/>
      <c r="L82" s="282"/>
      <c r="M82" s="282"/>
      <c r="N82" s="282"/>
      <c r="O82" s="282"/>
      <c r="P82" s="283"/>
      <c r="Q82" s="159"/>
    </row>
    <row r="83" spans="1:17" s="154" customFormat="1" ht="17.5" customHeight="1" x14ac:dyDescent="0.55000000000000004">
      <c r="B83" s="155"/>
      <c r="C83" s="170"/>
      <c r="D83" s="171"/>
      <c r="E83" s="170"/>
      <c r="F83" s="171"/>
      <c r="G83" s="281"/>
      <c r="H83" s="282"/>
      <c r="I83" s="282"/>
      <c r="J83" s="282"/>
      <c r="K83" s="282"/>
      <c r="L83" s="282"/>
      <c r="M83" s="282"/>
      <c r="N83" s="282"/>
      <c r="O83" s="282"/>
      <c r="P83" s="283"/>
      <c r="Q83" s="159"/>
    </row>
    <row r="84" spans="1:17" s="154" customFormat="1" ht="17.5" customHeight="1" x14ac:dyDescent="0.55000000000000004">
      <c r="B84" s="155"/>
      <c r="C84" s="170"/>
      <c r="D84" s="171"/>
      <c r="E84" s="170"/>
      <c r="F84" s="171"/>
      <c r="G84" s="281"/>
      <c r="H84" s="282"/>
      <c r="I84" s="282"/>
      <c r="J84" s="282"/>
      <c r="K84" s="282"/>
      <c r="L84" s="282"/>
      <c r="M84" s="282"/>
      <c r="N84" s="282"/>
      <c r="O84" s="282"/>
      <c r="P84" s="283"/>
      <c r="Q84" s="159"/>
    </row>
    <row r="85" spans="1:17" s="154" customFormat="1" ht="17.5" customHeight="1" x14ac:dyDescent="0.55000000000000004">
      <c r="B85" s="163"/>
      <c r="C85" s="173"/>
      <c r="D85" s="174"/>
      <c r="E85" s="173"/>
      <c r="F85" s="174"/>
      <c r="G85" s="284"/>
      <c r="H85" s="285"/>
      <c r="I85" s="285"/>
      <c r="J85" s="285"/>
      <c r="K85" s="285"/>
      <c r="L85" s="285"/>
      <c r="M85" s="285"/>
      <c r="N85" s="285"/>
      <c r="O85" s="285"/>
      <c r="P85" s="286"/>
      <c r="Q85" s="159"/>
    </row>
    <row r="86" spans="1:17" ht="22.75" customHeight="1" x14ac:dyDescent="0.45">
      <c r="B86" s="288" t="s">
        <v>27</v>
      </c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</row>
    <row r="87" spans="1:17" ht="22.75" customHeight="1" x14ac:dyDescent="0.45">
      <c r="A87" s="154"/>
      <c r="B87" s="275" t="s">
        <v>28</v>
      </c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</row>
    <row r="88" spans="1:17" x14ac:dyDescent="0.45">
      <c r="A88" s="154"/>
    </row>
    <row r="89" spans="1:17" x14ac:dyDescent="0.45">
      <c r="A89" s="154"/>
    </row>
    <row r="90" spans="1:17" ht="21" customHeight="1" x14ac:dyDescent="0.45">
      <c r="A90" s="154"/>
      <c r="E90" s="180"/>
      <c r="F90" s="181"/>
      <c r="G90" s="182"/>
      <c r="H90" s="183"/>
      <c r="I90" s="184"/>
      <c r="J90" s="185"/>
    </row>
    <row r="91" spans="1:17" ht="19.5" customHeight="1" x14ac:dyDescent="0.45">
      <c r="A91" s="154"/>
    </row>
    <row r="92" spans="1:17" x14ac:dyDescent="0.45">
      <c r="A92" s="144"/>
    </row>
    <row r="93" spans="1:17" x14ac:dyDescent="0.45">
      <c r="A93" s="154"/>
    </row>
    <row r="94" spans="1:17" x14ac:dyDescent="0.45">
      <c r="A94" s="154"/>
    </row>
    <row r="95" spans="1:17" x14ac:dyDescent="0.45">
      <c r="A95" s="154"/>
    </row>
    <row r="96" spans="1:17" x14ac:dyDescent="0.45">
      <c r="A96" s="154"/>
    </row>
    <row r="97" spans="1:1" x14ac:dyDescent="0.45">
      <c r="A97" s="154"/>
    </row>
    <row r="98" spans="1:1" x14ac:dyDescent="0.45">
      <c r="A98" s="154"/>
    </row>
    <row r="99" spans="1:1" x14ac:dyDescent="0.45">
      <c r="A99" s="154"/>
    </row>
    <row r="100" spans="1:1" x14ac:dyDescent="0.45">
      <c r="A100" s="154"/>
    </row>
    <row r="101" spans="1:1" x14ac:dyDescent="0.45">
      <c r="A101" s="154"/>
    </row>
    <row r="102" spans="1:1" x14ac:dyDescent="0.45">
      <c r="A102" s="154"/>
    </row>
    <row r="103" spans="1:1" x14ac:dyDescent="0.45">
      <c r="A103" s="154"/>
    </row>
    <row r="104" spans="1:1" x14ac:dyDescent="0.45">
      <c r="A104" s="154"/>
    </row>
    <row r="105" spans="1:1" x14ac:dyDescent="0.45">
      <c r="A105" s="144"/>
    </row>
    <row r="106" spans="1:1" x14ac:dyDescent="0.45">
      <c r="A106" s="154"/>
    </row>
    <row r="107" spans="1:1" x14ac:dyDescent="0.45">
      <c r="A107" s="154"/>
    </row>
    <row r="108" spans="1:1" x14ac:dyDescent="0.45">
      <c r="A108" s="154"/>
    </row>
    <row r="109" spans="1:1" x14ac:dyDescent="0.45">
      <c r="A109" s="154"/>
    </row>
    <row r="110" spans="1:1" x14ac:dyDescent="0.45">
      <c r="A110" s="154"/>
    </row>
    <row r="111" spans="1:1" x14ac:dyDescent="0.45">
      <c r="A111" s="154"/>
    </row>
    <row r="112" spans="1:1" x14ac:dyDescent="0.45">
      <c r="A112" s="154"/>
    </row>
    <row r="113" spans="1:1" x14ac:dyDescent="0.45">
      <c r="A113" s="154"/>
    </row>
    <row r="114" spans="1:1" x14ac:dyDescent="0.45">
      <c r="A114" s="154"/>
    </row>
    <row r="115" spans="1:1" x14ac:dyDescent="0.45">
      <c r="A115" s="154"/>
    </row>
    <row r="116" spans="1:1" x14ac:dyDescent="0.45">
      <c r="A116" s="154"/>
    </row>
    <row r="117" spans="1:1" x14ac:dyDescent="0.45">
      <c r="A117" s="154"/>
    </row>
    <row r="118" spans="1:1" x14ac:dyDescent="0.45">
      <c r="A118" s="144"/>
    </row>
    <row r="119" spans="1:1" x14ac:dyDescent="0.45">
      <c r="A119" s="154"/>
    </row>
    <row r="120" spans="1:1" x14ac:dyDescent="0.45">
      <c r="A120" s="154"/>
    </row>
    <row r="121" spans="1:1" x14ac:dyDescent="0.45">
      <c r="A121" s="154"/>
    </row>
    <row r="122" spans="1:1" x14ac:dyDescent="0.45">
      <c r="A122" s="154"/>
    </row>
    <row r="123" spans="1:1" x14ac:dyDescent="0.45">
      <c r="A123" s="154"/>
    </row>
    <row r="124" spans="1:1" x14ac:dyDescent="0.45">
      <c r="A124" s="154"/>
    </row>
    <row r="125" spans="1:1" x14ac:dyDescent="0.45">
      <c r="A125" s="154"/>
    </row>
    <row r="126" spans="1:1" x14ac:dyDescent="0.45">
      <c r="A126" s="154"/>
    </row>
    <row r="127" spans="1:1" x14ac:dyDescent="0.45">
      <c r="A127" s="154"/>
    </row>
    <row r="128" spans="1:1" x14ac:dyDescent="0.45">
      <c r="A128" s="154"/>
    </row>
    <row r="129" spans="1:1" x14ac:dyDescent="0.45">
      <c r="A129" s="154"/>
    </row>
    <row r="130" spans="1:1" x14ac:dyDescent="0.45">
      <c r="A130" s="154"/>
    </row>
    <row r="131" spans="1:1" x14ac:dyDescent="0.45">
      <c r="A131" s="144"/>
    </row>
    <row r="132" spans="1:1" x14ac:dyDescent="0.45">
      <c r="A132" s="154"/>
    </row>
    <row r="133" spans="1:1" x14ac:dyDescent="0.45">
      <c r="A133" s="154"/>
    </row>
    <row r="134" spans="1:1" x14ac:dyDescent="0.45">
      <c r="A134" s="154"/>
    </row>
    <row r="135" spans="1:1" x14ac:dyDescent="0.45">
      <c r="A135" s="154"/>
    </row>
    <row r="136" spans="1:1" x14ac:dyDescent="0.45">
      <c r="A136" s="154"/>
    </row>
    <row r="137" spans="1:1" x14ac:dyDescent="0.45">
      <c r="A137" s="154"/>
    </row>
    <row r="138" spans="1:1" x14ac:dyDescent="0.45">
      <c r="A138" s="154"/>
    </row>
    <row r="139" spans="1:1" x14ac:dyDescent="0.45">
      <c r="A139" s="154"/>
    </row>
    <row r="140" spans="1:1" x14ac:dyDescent="0.45">
      <c r="A140" s="154"/>
    </row>
    <row r="141" spans="1:1" x14ac:dyDescent="0.45">
      <c r="A141" s="154"/>
    </row>
    <row r="142" spans="1:1" x14ac:dyDescent="0.45">
      <c r="A142" s="154"/>
    </row>
    <row r="143" spans="1:1" x14ac:dyDescent="0.45">
      <c r="A143" s="154"/>
    </row>
    <row r="144" spans="1:1" x14ac:dyDescent="0.45">
      <c r="A144" s="144"/>
    </row>
    <row r="145" spans="1:1" x14ac:dyDescent="0.45">
      <c r="A145" s="154"/>
    </row>
    <row r="146" spans="1:1" x14ac:dyDescent="0.45">
      <c r="A146" s="154"/>
    </row>
    <row r="147" spans="1:1" x14ac:dyDescent="0.45">
      <c r="A147" s="154"/>
    </row>
    <row r="148" spans="1:1" x14ac:dyDescent="0.45">
      <c r="A148" s="154"/>
    </row>
    <row r="149" spans="1:1" x14ac:dyDescent="0.45">
      <c r="A149" s="154"/>
    </row>
    <row r="150" spans="1:1" x14ac:dyDescent="0.45">
      <c r="A150" s="154"/>
    </row>
    <row r="151" spans="1:1" x14ac:dyDescent="0.45">
      <c r="A151" s="154"/>
    </row>
    <row r="152" spans="1:1" x14ac:dyDescent="0.45">
      <c r="A152" s="154"/>
    </row>
    <row r="153" spans="1:1" x14ac:dyDescent="0.45">
      <c r="A153" s="154"/>
    </row>
    <row r="154" spans="1:1" x14ac:dyDescent="0.45">
      <c r="A154" s="154"/>
    </row>
    <row r="155" spans="1:1" x14ac:dyDescent="0.45">
      <c r="A155" s="154"/>
    </row>
    <row r="156" spans="1:1" x14ac:dyDescent="0.45">
      <c r="A156" s="154"/>
    </row>
    <row r="159" spans="1:1" x14ac:dyDescent="0.45">
      <c r="A159" s="154"/>
    </row>
    <row r="160" spans="1:1" x14ac:dyDescent="0.45">
      <c r="A160" s="154"/>
    </row>
    <row r="161" spans="1:1" x14ac:dyDescent="0.45">
      <c r="A161" s="154"/>
    </row>
    <row r="162" spans="1:1" x14ac:dyDescent="0.45">
      <c r="A162" s="154"/>
    </row>
    <row r="163" spans="1:1" x14ac:dyDescent="0.45">
      <c r="A163" s="144"/>
    </row>
    <row r="164" spans="1:1" x14ac:dyDescent="0.45">
      <c r="A164" s="154"/>
    </row>
    <row r="165" spans="1:1" x14ac:dyDescent="0.45">
      <c r="A165" s="154"/>
    </row>
    <row r="166" spans="1:1" x14ac:dyDescent="0.45">
      <c r="A166" s="154"/>
    </row>
    <row r="167" spans="1:1" x14ac:dyDescent="0.45">
      <c r="A167" s="154"/>
    </row>
    <row r="168" spans="1:1" x14ac:dyDescent="0.45">
      <c r="A168" s="154"/>
    </row>
    <row r="169" spans="1:1" x14ac:dyDescent="0.45">
      <c r="A169" s="154"/>
    </row>
    <row r="170" spans="1:1" x14ac:dyDescent="0.45">
      <c r="A170" s="154"/>
    </row>
    <row r="171" spans="1:1" x14ac:dyDescent="0.45">
      <c r="A171" s="154"/>
    </row>
    <row r="172" spans="1:1" x14ac:dyDescent="0.45">
      <c r="A172" s="154"/>
    </row>
    <row r="173" spans="1:1" x14ac:dyDescent="0.45">
      <c r="A173" s="154"/>
    </row>
    <row r="174" spans="1:1" x14ac:dyDescent="0.45">
      <c r="A174" s="154"/>
    </row>
    <row r="175" spans="1:1" x14ac:dyDescent="0.45">
      <c r="A175" s="154"/>
    </row>
    <row r="176" spans="1:1" x14ac:dyDescent="0.45">
      <c r="A176" s="144"/>
    </row>
    <row r="177" spans="1:1" x14ac:dyDescent="0.45">
      <c r="A177" s="154"/>
    </row>
    <row r="178" spans="1:1" x14ac:dyDescent="0.45">
      <c r="A178" s="154"/>
    </row>
    <row r="179" spans="1:1" x14ac:dyDescent="0.45">
      <c r="A179" s="154"/>
    </row>
    <row r="180" spans="1:1" x14ac:dyDescent="0.45">
      <c r="A180" s="154"/>
    </row>
    <row r="181" spans="1:1" x14ac:dyDescent="0.45">
      <c r="A181" s="154"/>
    </row>
    <row r="182" spans="1:1" x14ac:dyDescent="0.45">
      <c r="A182" s="154"/>
    </row>
    <row r="183" spans="1:1" x14ac:dyDescent="0.45">
      <c r="A183" s="154"/>
    </row>
    <row r="184" spans="1:1" x14ac:dyDescent="0.45">
      <c r="A184" s="154"/>
    </row>
    <row r="185" spans="1:1" x14ac:dyDescent="0.45">
      <c r="A185" s="154"/>
    </row>
    <row r="186" spans="1:1" x14ac:dyDescent="0.45">
      <c r="A186" s="154"/>
    </row>
    <row r="187" spans="1:1" x14ac:dyDescent="0.45">
      <c r="A187" s="154"/>
    </row>
    <row r="188" spans="1:1" x14ac:dyDescent="0.45">
      <c r="A188" s="154"/>
    </row>
    <row r="189" spans="1:1" x14ac:dyDescent="0.45">
      <c r="A189" s="144"/>
    </row>
    <row r="190" spans="1:1" x14ac:dyDescent="0.45">
      <c r="A190" s="154"/>
    </row>
    <row r="191" spans="1:1" x14ac:dyDescent="0.45">
      <c r="A191" s="154"/>
    </row>
    <row r="192" spans="1:1" x14ac:dyDescent="0.45">
      <c r="A192" s="154"/>
    </row>
    <row r="193" spans="1:1" x14ac:dyDescent="0.45">
      <c r="A193" s="154"/>
    </row>
    <row r="194" spans="1:1" x14ac:dyDescent="0.45">
      <c r="A194" s="154"/>
    </row>
    <row r="195" spans="1:1" x14ac:dyDescent="0.45">
      <c r="A195" s="154"/>
    </row>
    <row r="196" spans="1:1" x14ac:dyDescent="0.45">
      <c r="A196" s="154"/>
    </row>
    <row r="197" spans="1:1" x14ac:dyDescent="0.45">
      <c r="A197" s="154"/>
    </row>
    <row r="198" spans="1:1" x14ac:dyDescent="0.45">
      <c r="A198" s="154"/>
    </row>
    <row r="199" spans="1:1" x14ac:dyDescent="0.45">
      <c r="A199" s="154"/>
    </row>
    <row r="200" spans="1:1" x14ac:dyDescent="0.45">
      <c r="A200" s="154"/>
    </row>
    <row r="201" spans="1:1" x14ac:dyDescent="0.45">
      <c r="A201" s="154"/>
    </row>
    <row r="202" spans="1:1" x14ac:dyDescent="0.45">
      <c r="A202" s="144"/>
    </row>
    <row r="203" spans="1:1" x14ac:dyDescent="0.45">
      <c r="A203" s="154"/>
    </row>
    <row r="204" spans="1:1" x14ac:dyDescent="0.45">
      <c r="A204" s="154"/>
    </row>
    <row r="205" spans="1:1" x14ac:dyDescent="0.45">
      <c r="A205" s="154"/>
    </row>
    <row r="206" spans="1:1" x14ac:dyDescent="0.45">
      <c r="A206" s="154"/>
    </row>
    <row r="207" spans="1:1" x14ac:dyDescent="0.45">
      <c r="A207" s="154"/>
    </row>
    <row r="208" spans="1:1" x14ac:dyDescent="0.45">
      <c r="A208" s="154"/>
    </row>
    <row r="209" spans="1:1" x14ac:dyDescent="0.45">
      <c r="A209" s="154"/>
    </row>
    <row r="210" spans="1:1" x14ac:dyDescent="0.45">
      <c r="A210" s="154"/>
    </row>
    <row r="211" spans="1:1" x14ac:dyDescent="0.45">
      <c r="A211" s="154"/>
    </row>
    <row r="212" spans="1:1" x14ac:dyDescent="0.45">
      <c r="A212" s="154"/>
    </row>
    <row r="213" spans="1:1" x14ac:dyDescent="0.45">
      <c r="A213" s="154"/>
    </row>
    <row r="214" spans="1:1" x14ac:dyDescent="0.45">
      <c r="A214" s="154"/>
    </row>
    <row r="215" spans="1:1" x14ac:dyDescent="0.45">
      <c r="A215" s="144"/>
    </row>
    <row r="216" spans="1:1" x14ac:dyDescent="0.45">
      <c r="A216" s="154"/>
    </row>
    <row r="217" spans="1:1" x14ac:dyDescent="0.45">
      <c r="A217" s="154"/>
    </row>
    <row r="218" spans="1:1" x14ac:dyDescent="0.45">
      <c r="A218" s="154"/>
    </row>
    <row r="219" spans="1:1" x14ac:dyDescent="0.45">
      <c r="A219" s="154"/>
    </row>
    <row r="220" spans="1:1" x14ac:dyDescent="0.45">
      <c r="A220" s="154"/>
    </row>
    <row r="221" spans="1:1" x14ac:dyDescent="0.45">
      <c r="A221" s="154"/>
    </row>
    <row r="222" spans="1:1" x14ac:dyDescent="0.45">
      <c r="A222" s="154"/>
    </row>
    <row r="223" spans="1:1" x14ac:dyDescent="0.45">
      <c r="A223" s="154"/>
    </row>
    <row r="224" spans="1:1" x14ac:dyDescent="0.45">
      <c r="A224" s="154"/>
    </row>
    <row r="225" spans="1:1" x14ac:dyDescent="0.45">
      <c r="A225" s="154"/>
    </row>
    <row r="226" spans="1:1" x14ac:dyDescent="0.45">
      <c r="A226" s="154"/>
    </row>
    <row r="227" spans="1:1" x14ac:dyDescent="0.45">
      <c r="A227" s="154"/>
    </row>
    <row r="231" spans="1:1" x14ac:dyDescent="0.45">
      <c r="A231" s="154"/>
    </row>
    <row r="232" spans="1:1" x14ac:dyDescent="0.45">
      <c r="A232" s="154"/>
    </row>
    <row r="233" spans="1:1" x14ac:dyDescent="0.45">
      <c r="A233" s="154"/>
    </row>
    <row r="234" spans="1:1" x14ac:dyDescent="0.45">
      <c r="A234" s="154"/>
    </row>
    <row r="235" spans="1:1" x14ac:dyDescent="0.45">
      <c r="A235" s="154"/>
    </row>
    <row r="236" spans="1:1" x14ac:dyDescent="0.45">
      <c r="A236" s="154"/>
    </row>
    <row r="237" spans="1:1" x14ac:dyDescent="0.45">
      <c r="A237" s="154"/>
    </row>
    <row r="238" spans="1:1" x14ac:dyDescent="0.45">
      <c r="A238" s="144"/>
    </row>
    <row r="239" spans="1:1" x14ac:dyDescent="0.45">
      <c r="A239" s="154"/>
    </row>
    <row r="240" spans="1:1" x14ac:dyDescent="0.45">
      <c r="A240" s="154"/>
    </row>
    <row r="241" spans="1:1" x14ac:dyDescent="0.45">
      <c r="A241" s="154"/>
    </row>
    <row r="242" spans="1:1" x14ac:dyDescent="0.45">
      <c r="A242" s="154"/>
    </row>
    <row r="243" spans="1:1" x14ac:dyDescent="0.45">
      <c r="A243" s="154"/>
    </row>
    <row r="244" spans="1:1" x14ac:dyDescent="0.45">
      <c r="A244" s="154"/>
    </row>
    <row r="245" spans="1:1" x14ac:dyDescent="0.45">
      <c r="A245" s="154"/>
    </row>
    <row r="246" spans="1:1" x14ac:dyDescent="0.45">
      <c r="A246" s="154"/>
    </row>
    <row r="247" spans="1:1" x14ac:dyDescent="0.45">
      <c r="A247" s="154"/>
    </row>
    <row r="248" spans="1:1" x14ac:dyDescent="0.45">
      <c r="A248" s="154"/>
    </row>
    <row r="249" spans="1:1" x14ac:dyDescent="0.45">
      <c r="A249" s="154"/>
    </row>
    <row r="250" spans="1:1" x14ac:dyDescent="0.45">
      <c r="A250" s="154"/>
    </row>
    <row r="251" spans="1:1" x14ac:dyDescent="0.45">
      <c r="A251" s="144"/>
    </row>
    <row r="252" spans="1:1" x14ac:dyDescent="0.45">
      <c r="A252" s="154"/>
    </row>
    <row r="253" spans="1:1" x14ac:dyDescent="0.45">
      <c r="A253" s="154"/>
    </row>
    <row r="254" spans="1:1" x14ac:dyDescent="0.45">
      <c r="A254" s="154"/>
    </row>
    <row r="255" spans="1:1" x14ac:dyDescent="0.45">
      <c r="A255" s="154"/>
    </row>
    <row r="256" spans="1:1" x14ac:dyDescent="0.45">
      <c r="A256" s="154"/>
    </row>
    <row r="257" spans="1:1" x14ac:dyDescent="0.45">
      <c r="A257" s="154"/>
    </row>
    <row r="258" spans="1:1" x14ac:dyDescent="0.45">
      <c r="A258" s="154"/>
    </row>
    <row r="259" spans="1:1" x14ac:dyDescent="0.45">
      <c r="A259" s="154"/>
    </row>
    <row r="260" spans="1:1" x14ac:dyDescent="0.45">
      <c r="A260" s="154"/>
    </row>
    <row r="261" spans="1:1" x14ac:dyDescent="0.45">
      <c r="A261" s="154"/>
    </row>
    <row r="262" spans="1:1" x14ac:dyDescent="0.45">
      <c r="A262" s="154"/>
    </row>
    <row r="263" spans="1:1" x14ac:dyDescent="0.45">
      <c r="A263" s="154"/>
    </row>
    <row r="264" spans="1:1" x14ac:dyDescent="0.45">
      <c r="A264" s="144"/>
    </row>
    <row r="265" spans="1:1" x14ac:dyDescent="0.45">
      <c r="A265" s="154"/>
    </row>
    <row r="266" spans="1:1" x14ac:dyDescent="0.45">
      <c r="A266" s="154"/>
    </row>
    <row r="267" spans="1:1" x14ac:dyDescent="0.45">
      <c r="A267" s="154"/>
    </row>
    <row r="268" spans="1:1" x14ac:dyDescent="0.45">
      <c r="A268" s="154"/>
    </row>
    <row r="269" spans="1:1" x14ac:dyDescent="0.45">
      <c r="A269" s="154"/>
    </row>
    <row r="270" spans="1:1" x14ac:dyDescent="0.45">
      <c r="A270" s="154"/>
    </row>
    <row r="271" spans="1:1" x14ac:dyDescent="0.45">
      <c r="A271" s="154"/>
    </row>
    <row r="272" spans="1:1" x14ac:dyDescent="0.45">
      <c r="A272" s="154"/>
    </row>
    <row r="273" spans="1:1" x14ac:dyDescent="0.45">
      <c r="A273" s="154"/>
    </row>
    <row r="274" spans="1:1" x14ac:dyDescent="0.45">
      <c r="A274" s="154"/>
    </row>
    <row r="275" spans="1:1" x14ac:dyDescent="0.45">
      <c r="A275" s="154"/>
    </row>
    <row r="276" spans="1:1" x14ac:dyDescent="0.45">
      <c r="A276" s="154"/>
    </row>
    <row r="277" spans="1:1" x14ac:dyDescent="0.45">
      <c r="A277" s="144"/>
    </row>
    <row r="278" spans="1:1" x14ac:dyDescent="0.45">
      <c r="A278" s="154"/>
    </row>
    <row r="279" spans="1:1" x14ac:dyDescent="0.45">
      <c r="A279" s="154"/>
    </row>
    <row r="280" spans="1:1" x14ac:dyDescent="0.45">
      <c r="A280" s="154"/>
    </row>
    <row r="281" spans="1:1" x14ac:dyDescent="0.45">
      <c r="A281" s="154"/>
    </row>
    <row r="282" spans="1:1" x14ac:dyDescent="0.45">
      <c r="A282" s="154"/>
    </row>
    <row r="283" spans="1:1" x14ac:dyDescent="0.45">
      <c r="A283" s="154"/>
    </row>
    <row r="284" spans="1:1" x14ac:dyDescent="0.45">
      <c r="A284" s="154"/>
    </row>
    <row r="285" spans="1:1" x14ac:dyDescent="0.45">
      <c r="A285" s="154"/>
    </row>
    <row r="286" spans="1:1" x14ac:dyDescent="0.45">
      <c r="A286" s="154"/>
    </row>
    <row r="287" spans="1:1" x14ac:dyDescent="0.45">
      <c r="A287" s="154"/>
    </row>
    <row r="288" spans="1:1" x14ac:dyDescent="0.45">
      <c r="A288" s="154"/>
    </row>
    <row r="289" spans="1:1" x14ac:dyDescent="0.45">
      <c r="A289" s="154"/>
    </row>
    <row r="290" spans="1:1" x14ac:dyDescent="0.45">
      <c r="A290" s="144"/>
    </row>
    <row r="291" spans="1:1" x14ac:dyDescent="0.45">
      <c r="A291" s="154"/>
    </row>
    <row r="292" spans="1:1" x14ac:dyDescent="0.45">
      <c r="A292" s="154"/>
    </row>
    <row r="293" spans="1:1" x14ac:dyDescent="0.45">
      <c r="A293" s="154"/>
    </row>
    <row r="294" spans="1:1" x14ac:dyDescent="0.45">
      <c r="A294" s="154"/>
    </row>
    <row r="295" spans="1:1" x14ac:dyDescent="0.45">
      <c r="A295" s="154"/>
    </row>
    <row r="296" spans="1:1" x14ac:dyDescent="0.45">
      <c r="A296" s="154"/>
    </row>
    <row r="297" spans="1:1" x14ac:dyDescent="0.45">
      <c r="A297" s="154"/>
    </row>
    <row r="298" spans="1:1" x14ac:dyDescent="0.45">
      <c r="A298" s="154"/>
    </row>
    <row r="299" spans="1:1" x14ac:dyDescent="0.45">
      <c r="A299" s="154"/>
    </row>
    <row r="300" spans="1:1" x14ac:dyDescent="0.45">
      <c r="A300" s="154"/>
    </row>
    <row r="301" spans="1:1" x14ac:dyDescent="0.45">
      <c r="A301" s="154"/>
    </row>
    <row r="302" spans="1:1" x14ac:dyDescent="0.45">
      <c r="A302" s="154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zoomScale="50" zoomScaleNormal="50" workbookViewId="0">
      <selection activeCell="K6" sqref="K6:M6"/>
    </sheetView>
  </sheetViews>
  <sheetFormatPr defaultColWidth="6.69140625" defaultRowHeight="14" x14ac:dyDescent="0.3"/>
  <cols>
    <col min="1" max="1" width="5.53515625" style="1" customWidth="1"/>
    <col min="2" max="2" width="24.69140625" style="1" customWidth="1"/>
    <col min="3" max="3" width="43" style="1" customWidth="1"/>
    <col min="4" max="4" width="7.4609375" style="14" customWidth="1"/>
    <col min="5" max="5" width="38.69140625" style="1" customWidth="1"/>
    <col min="6" max="6" width="7.765625" style="14" customWidth="1"/>
    <col min="7" max="7" width="40.3828125" style="1" customWidth="1"/>
    <col min="8" max="8" width="7.4609375" style="14" customWidth="1"/>
    <col min="9" max="9" width="39.921875" style="1" customWidth="1"/>
    <col min="10" max="10" width="7.4609375" style="14" customWidth="1"/>
    <col min="11" max="11" width="37.921875" style="1" customWidth="1"/>
    <col min="12" max="12" width="7.4609375" style="14" customWidth="1"/>
    <col min="13" max="13" width="3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258"/>
      <c r="C4" s="258"/>
      <c r="R4" s="46"/>
      <c r="S4" s="46"/>
      <c r="BB4" s="9"/>
      <c r="BC4" s="9"/>
      <c r="BD4" s="9"/>
      <c r="BK4" s="246"/>
      <c r="BL4" s="246"/>
      <c r="BM4" s="246"/>
      <c r="BN4" s="246"/>
      <c r="CG4" s="11"/>
      <c r="CH4" s="13"/>
      <c r="CI4" s="11"/>
    </row>
    <row r="5" spans="1:88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246"/>
      <c r="BL5" s="246"/>
      <c r="BM5" s="246"/>
      <c r="BN5" s="246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89" t="s">
        <v>17</v>
      </c>
      <c r="H6" s="289"/>
      <c r="I6" s="190" t="str">
        <f>UPPER(TEXT(DATE(CalendarYear,1,1)," yyyy"))</f>
        <v xml:space="preserve"> 2022</v>
      </c>
      <c r="J6" s="191"/>
      <c r="K6" s="190" t="s">
        <v>171</v>
      </c>
      <c r="L6" s="191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247"/>
      <c r="CC6" s="247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 t="str">
        <f>IF(DAY(AprSun1)=1,"",IF(AND(YEAR(AprSun1+4)=CalendarYear,MONTH(AprSun1+4)=4),AprSun1+4,""))</f>
        <v/>
      </c>
      <c r="J8" s="61" t="s">
        <v>29</v>
      </c>
      <c r="K8" s="56">
        <f>IF(DAY(AprSun1)=1,"",IF(AND(YEAR(AprSun1+5)=CalendarYear,MONTH(AprSun1+5)=4),AprSun1+5,""))</f>
        <v>44652</v>
      </c>
      <c r="L8" s="61" t="s">
        <v>29</v>
      </c>
      <c r="M8" s="56">
        <f>IF(DAY(AprSun1)=1,"",IF(AND(YEAR(AprSun1+6)=CalendarYear,MONTH(AprSun1+6)=4),AprSun1+6,""))</f>
        <v>44653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44654</v>
      </c>
      <c r="P8" s="61" t="s">
        <v>29</v>
      </c>
      <c r="Q8" s="47"/>
      <c r="T8" s="53"/>
      <c r="U8" s="54"/>
    </row>
    <row r="9" spans="1:88" s="23" customFormat="1" ht="17.5" customHeight="1" x14ac:dyDescent="0.55000000000000004">
      <c r="B9" s="155" t="s">
        <v>1</v>
      </c>
      <c r="C9" s="156"/>
      <c r="D9" s="157"/>
      <c r="E9" s="156"/>
      <c r="F9" s="157"/>
      <c r="G9" s="158"/>
      <c r="H9" s="157"/>
      <c r="I9" s="158"/>
      <c r="J9" s="157"/>
      <c r="K9" s="158" t="s">
        <v>44</v>
      </c>
      <c r="L9" s="157"/>
      <c r="M9" s="158" t="s">
        <v>308</v>
      </c>
      <c r="N9" s="157"/>
      <c r="O9" s="158" t="s">
        <v>32</v>
      </c>
      <c r="P9" s="157"/>
      <c r="Q9" s="22"/>
    </row>
    <row r="10" spans="1:88" s="23" customFormat="1" ht="17.5" customHeight="1" x14ac:dyDescent="0.55000000000000004">
      <c r="B10" s="155"/>
      <c r="C10" s="160"/>
      <c r="D10" s="161"/>
      <c r="E10" s="160"/>
      <c r="F10" s="161"/>
      <c r="G10" s="162"/>
      <c r="H10" s="161"/>
      <c r="I10" s="162"/>
      <c r="J10" s="161"/>
      <c r="K10" s="162"/>
      <c r="L10" s="161"/>
      <c r="M10" s="162"/>
      <c r="N10" s="161"/>
      <c r="O10" s="162"/>
      <c r="P10" s="161"/>
      <c r="Q10" s="22"/>
    </row>
    <row r="11" spans="1:88" s="23" customFormat="1" ht="17.5" customHeight="1" x14ac:dyDescent="0.55000000000000004">
      <c r="B11" s="155" t="s">
        <v>3</v>
      </c>
      <c r="C11" s="160"/>
      <c r="D11" s="161"/>
      <c r="E11" s="160"/>
      <c r="F11" s="161"/>
      <c r="G11" s="162"/>
      <c r="H11" s="161"/>
      <c r="I11" s="162"/>
      <c r="J11" s="161"/>
      <c r="K11" s="162" t="s">
        <v>167</v>
      </c>
      <c r="L11" s="161"/>
      <c r="M11" s="162" t="s">
        <v>272</v>
      </c>
      <c r="N11" s="161"/>
      <c r="O11" s="162" t="s">
        <v>32</v>
      </c>
      <c r="P11" s="161"/>
      <c r="Q11" s="22"/>
    </row>
    <row r="12" spans="1:88" s="23" customFormat="1" ht="17.5" customHeight="1" x14ac:dyDescent="0.55000000000000004">
      <c r="B12" s="155"/>
      <c r="C12" s="160"/>
      <c r="D12" s="161"/>
      <c r="E12" s="160"/>
      <c r="F12" s="161"/>
      <c r="G12" s="162"/>
      <c r="H12" s="161"/>
      <c r="I12" s="162"/>
      <c r="J12" s="161"/>
      <c r="K12" s="162"/>
      <c r="L12" s="161"/>
      <c r="M12" s="162"/>
      <c r="N12" s="161"/>
      <c r="O12" s="162"/>
      <c r="P12" s="161"/>
      <c r="Q12" s="22"/>
    </row>
    <row r="13" spans="1:88" s="23" customFormat="1" ht="17.5" customHeight="1" x14ac:dyDescent="0.55000000000000004">
      <c r="B13" s="155" t="s">
        <v>4</v>
      </c>
      <c r="C13" s="160"/>
      <c r="D13" s="161"/>
      <c r="E13" s="160"/>
      <c r="F13" s="161"/>
      <c r="G13" s="162"/>
      <c r="H13" s="161"/>
      <c r="I13" s="162"/>
      <c r="J13" s="161"/>
      <c r="K13" s="162" t="s">
        <v>77</v>
      </c>
      <c r="L13" s="161"/>
      <c r="M13" s="162" t="s">
        <v>53</v>
      </c>
      <c r="N13" s="161"/>
      <c r="O13" s="162" t="s">
        <v>32</v>
      </c>
      <c r="P13" s="161"/>
      <c r="Q13" s="22"/>
    </row>
    <row r="14" spans="1:88" s="23" customFormat="1" ht="17.5" customHeight="1" x14ac:dyDescent="0.55000000000000004">
      <c r="B14" s="155"/>
      <c r="C14" s="160"/>
      <c r="D14" s="161"/>
      <c r="E14" s="160"/>
      <c r="F14" s="161"/>
      <c r="G14" s="162"/>
      <c r="H14" s="161"/>
      <c r="I14" s="162"/>
      <c r="J14" s="161"/>
      <c r="K14" s="162"/>
      <c r="L14" s="161"/>
      <c r="M14" s="162"/>
      <c r="N14" s="161"/>
      <c r="O14" s="162"/>
      <c r="P14" s="161"/>
      <c r="Q14" s="22"/>
    </row>
    <row r="15" spans="1:88" s="23" customFormat="1" ht="17.5" customHeight="1" x14ac:dyDescent="0.55000000000000004">
      <c r="B15" s="155" t="s">
        <v>30</v>
      </c>
      <c r="C15" s="160"/>
      <c r="D15" s="161"/>
      <c r="E15" s="160"/>
      <c r="F15" s="161"/>
      <c r="G15" s="162"/>
      <c r="H15" s="161"/>
      <c r="I15" s="162"/>
      <c r="J15" s="161"/>
      <c r="K15" s="162" t="s">
        <v>38</v>
      </c>
      <c r="L15" s="161"/>
      <c r="M15" s="162" t="s">
        <v>40</v>
      </c>
      <c r="N15" s="161"/>
      <c r="O15" s="162" t="s">
        <v>32</v>
      </c>
      <c r="P15" s="161"/>
      <c r="Q15" s="22"/>
    </row>
    <row r="16" spans="1:88" s="23" customFormat="1" ht="17.5" customHeight="1" x14ac:dyDescent="0.55000000000000004">
      <c r="B16" s="155"/>
      <c r="C16" s="160"/>
      <c r="D16" s="161"/>
      <c r="E16" s="160"/>
      <c r="F16" s="161"/>
      <c r="G16" s="162"/>
      <c r="H16" s="161"/>
      <c r="I16" s="162"/>
      <c r="J16" s="161"/>
      <c r="K16" s="162"/>
      <c r="L16" s="161"/>
      <c r="M16" s="162"/>
      <c r="N16" s="161"/>
      <c r="O16" s="162"/>
      <c r="P16" s="161"/>
      <c r="Q16" s="22"/>
    </row>
    <row r="17" spans="2:21" s="23" customFormat="1" ht="17.5" customHeight="1" x14ac:dyDescent="0.55000000000000004">
      <c r="B17" s="155" t="s">
        <v>6</v>
      </c>
      <c r="C17" s="160"/>
      <c r="D17" s="161"/>
      <c r="E17" s="160"/>
      <c r="F17" s="161"/>
      <c r="G17" s="162"/>
      <c r="H17" s="161"/>
      <c r="I17" s="162"/>
      <c r="J17" s="161"/>
      <c r="K17" s="162" t="s">
        <v>66</v>
      </c>
      <c r="L17" s="161"/>
      <c r="M17" s="162" t="s">
        <v>122</v>
      </c>
      <c r="N17" s="161"/>
      <c r="O17" s="162" t="s">
        <v>32</v>
      </c>
      <c r="P17" s="161"/>
      <c r="Q17" s="22"/>
    </row>
    <row r="18" spans="2:21" s="23" customFormat="1" ht="17.5" customHeight="1" x14ac:dyDescent="0.55000000000000004">
      <c r="B18" s="155"/>
      <c r="C18" s="160"/>
      <c r="D18" s="161"/>
      <c r="E18" s="160"/>
      <c r="F18" s="161"/>
      <c r="G18" s="162"/>
      <c r="H18" s="161"/>
      <c r="I18" s="162"/>
      <c r="J18" s="161"/>
      <c r="K18" s="162"/>
      <c r="L18" s="161"/>
      <c r="M18" s="162"/>
      <c r="N18" s="161"/>
      <c r="O18" s="162"/>
      <c r="P18" s="161"/>
      <c r="Q18" s="22"/>
    </row>
    <row r="19" spans="2:21" s="23" customFormat="1" ht="17.5" customHeight="1" x14ac:dyDescent="0.55000000000000004">
      <c r="B19" s="155"/>
      <c r="C19" s="160"/>
      <c r="D19" s="161"/>
      <c r="E19" s="160"/>
      <c r="F19" s="161"/>
      <c r="G19" s="162"/>
      <c r="H19" s="161"/>
      <c r="I19" s="162"/>
      <c r="J19" s="161"/>
      <c r="K19" s="162"/>
      <c r="L19" s="161"/>
      <c r="M19" s="162"/>
      <c r="N19" s="161"/>
      <c r="O19" s="162"/>
      <c r="P19" s="161"/>
      <c r="Q19" s="22"/>
    </row>
    <row r="20" spans="2:21" s="23" customFormat="1" ht="17.5" customHeight="1" x14ac:dyDescent="0.55000000000000004">
      <c r="B20" s="163"/>
      <c r="C20" s="164"/>
      <c r="D20" s="165"/>
      <c r="E20" s="164"/>
      <c r="F20" s="165"/>
      <c r="G20" s="166"/>
      <c r="H20" s="165"/>
      <c r="I20" s="166"/>
      <c r="J20" s="165"/>
      <c r="K20" s="166"/>
      <c r="L20" s="165"/>
      <c r="M20" s="166"/>
      <c r="N20" s="165"/>
      <c r="O20" s="166"/>
      <c r="P20" s="165"/>
      <c r="Q20" s="22"/>
    </row>
    <row r="21" spans="2:21" s="51" customFormat="1" ht="18" customHeight="1" x14ac:dyDescent="0.3">
      <c r="B21" s="147"/>
      <c r="C21" s="148">
        <v>4</v>
      </c>
      <c r="D21" s="149" t="s">
        <v>29</v>
      </c>
      <c r="E21" s="148">
        <v>5</v>
      </c>
      <c r="F21" s="149" t="s">
        <v>29</v>
      </c>
      <c r="G21" s="150">
        <v>6</v>
      </c>
      <c r="H21" s="149" t="s">
        <v>29</v>
      </c>
      <c r="I21" s="150">
        <v>7</v>
      </c>
      <c r="J21" s="149" t="s">
        <v>29</v>
      </c>
      <c r="K21" s="150">
        <v>8</v>
      </c>
      <c r="L21" s="149" t="s">
        <v>29</v>
      </c>
      <c r="M21" s="150">
        <v>9</v>
      </c>
      <c r="N21" s="149" t="s">
        <v>29</v>
      </c>
      <c r="O21" s="150">
        <v>10</v>
      </c>
      <c r="P21" s="149" t="s">
        <v>29</v>
      </c>
      <c r="Q21" s="47"/>
      <c r="T21" s="53"/>
      <c r="U21" s="54"/>
    </row>
    <row r="22" spans="2:21" s="23" customFormat="1" ht="17.5" customHeight="1" x14ac:dyDescent="0.55000000000000004">
      <c r="B22" s="155" t="s">
        <v>1</v>
      </c>
      <c r="C22" s="167" t="s">
        <v>67</v>
      </c>
      <c r="D22" s="168"/>
      <c r="E22" s="167" t="s">
        <v>31</v>
      </c>
      <c r="F22" s="168"/>
      <c r="G22" s="169" t="s">
        <v>311</v>
      </c>
      <c r="H22" s="168"/>
      <c r="I22" s="169" t="s">
        <v>124</v>
      </c>
      <c r="J22" s="168"/>
      <c r="K22" s="169" t="s">
        <v>105</v>
      </c>
      <c r="L22" s="168"/>
      <c r="M22" s="169" t="s">
        <v>42</v>
      </c>
      <c r="N22" s="168"/>
      <c r="O22" s="169" t="s">
        <v>32</v>
      </c>
      <c r="P22" s="168"/>
      <c r="Q22" s="22"/>
    </row>
    <row r="23" spans="2:21" s="23" customFormat="1" ht="17.5" customHeight="1" x14ac:dyDescent="0.55000000000000004">
      <c r="B23" s="155"/>
      <c r="C23" s="170"/>
      <c r="D23" s="171"/>
      <c r="E23" s="170"/>
      <c r="F23" s="171"/>
      <c r="G23" s="172"/>
      <c r="H23" s="171"/>
      <c r="I23" s="172"/>
      <c r="J23" s="171"/>
      <c r="K23" s="172"/>
      <c r="L23" s="171"/>
      <c r="M23" s="172"/>
      <c r="N23" s="171"/>
      <c r="O23" s="172"/>
      <c r="P23" s="171"/>
      <c r="Q23" s="22"/>
    </row>
    <row r="24" spans="2:21" s="23" customFormat="1" ht="17.5" customHeight="1" x14ac:dyDescent="0.55000000000000004">
      <c r="B24" s="155" t="s">
        <v>3</v>
      </c>
      <c r="C24" s="170" t="s">
        <v>328</v>
      </c>
      <c r="D24" s="171"/>
      <c r="E24" s="170" t="s">
        <v>310</v>
      </c>
      <c r="F24" s="171"/>
      <c r="G24" s="172" t="s">
        <v>330</v>
      </c>
      <c r="H24" s="171"/>
      <c r="I24" s="172" t="s">
        <v>312</v>
      </c>
      <c r="J24" s="171"/>
      <c r="K24" s="172" t="s">
        <v>313</v>
      </c>
      <c r="L24" s="171"/>
      <c r="M24" s="172" t="s">
        <v>315</v>
      </c>
      <c r="N24" s="171"/>
      <c r="O24" s="172" t="s">
        <v>32</v>
      </c>
      <c r="P24" s="171"/>
      <c r="Q24" s="22"/>
    </row>
    <row r="25" spans="2:21" s="23" customFormat="1" ht="17.5" customHeight="1" x14ac:dyDescent="0.55000000000000004">
      <c r="B25" s="155"/>
      <c r="C25" s="170"/>
      <c r="D25" s="171"/>
      <c r="E25" s="170"/>
      <c r="F25" s="171"/>
      <c r="G25" s="172"/>
      <c r="H25" s="171"/>
      <c r="I25" s="172"/>
      <c r="J25" s="171"/>
      <c r="K25" s="172"/>
      <c r="L25" s="171"/>
      <c r="M25" s="172"/>
      <c r="N25" s="171"/>
      <c r="O25" s="172"/>
      <c r="P25" s="171"/>
      <c r="Q25" s="22"/>
    </row>
    <row r="26" spans="2:21" s="23" customFormat="1" ht="17.5" customHeight="1" x14ac:dyDescent="0.55000000000000004">
      <c r="B26" s="155" t="s">
        <v>4</v>
      </c>
      <c r="C26" s="170" t="s">
        <v>201</v>
      </c>
      <c r="D26" s="171"/>
      <c r="E26" s="170" t="s">
        <v>329</v>
      </c>
      <c r="F26" s="171"/>
      <c r="G26" s="172" t="s">
        <v>306</v>
      </c>
      <c r="H26" s="171"/>
      <c r="I26" s="172" t="s">
        <v>96</v>
      </c>
      <c r="J26" s="171"/>
      <c r="K26" s="172" t="s">
        <v>97</v>
      </c>
      <c r="L26" s="171"/>
      <c r="M26" s="172" t="s">
        <v>316</v>
      </c>
      <c r="N26" s="171"/>
      <c r="O26" s="172" t="s">
        <v>32</v>
      </c>
      <c r="P26" s="171"/>
      <c r="Q26" s="22"/>
    </row>
    <row r="27" spans="2:21" s="23" customFormat="1" ht="17.5" customHeight="1" x14ac:dyDescent="0.55000000000000004">
      <c r="B27" s="155"/>
      <c r="C27" s="170"/>
      <c r="D27" s="171"/>
      <c r="E27" s="170"/>
      <c r="F27" s="171"/>
      <c r="G27" s="172"/>
      <c r="H27" s="171"/>
      <c r="I27" s="172"/>
      <c r="J27" s="171"/>
      <c r="K27" s="172"/>
      <c r="L27" s="171"/>
      <c r="M27" s="172"/>
      <c r="N27" s="171"/>
      <c r="O27" s="172"/>
      <c r="P27" s="171"/>
      <c r="Q27" s="22"/>
    </row>
    <row r="28" spans="2:21" s="23" customFormat="1" ht="17.5" customHeight="1" x14ac:dyDescent="0.55000000000000004">
      <c r="B28" s="155" t="s">
        <v>30</v>
      </c>
      <c r="C28" s="170" t="s">
        <v>38</v>
      </c>
      <c r="D28" s="171"/>
      <c r="E28" s="170" t="s">
        <v>40</v>
      </c>
      <c r="F28" s="171"/>
      <c r="G28" s="172" t="s">
        <v>234</v>
      </c>
      <c r="H28" s="171"/>
      <c r="I28" s="172" t="s">
        <v>38</v>
      </c>
      <c r="J28" s="171"/>
      <c r="K28" s="172" t="s">
        <v>314</v>
      </c>
      <c r="L28" s="171"/>
      <c r="M28" s="172" t="s">
        <v>38</v>
      </c>
      <c r="N28" s="171"/>
      <c r="O28" s="172" t="s">
        <v>32</v>
      </c>
      <c r="P28" s="171"/>
      <c r="Q28" s="22"/>
    </row>
    <row r="29" spans="2:21" s="23" customFormat="1" ht="17.5" customHeight="1" x14ac:dyDescent="0.55000000000000004">
      <c r="B29" s="155"/>
      <c r="C29" s="170"/>
      <c r="D29" s="171"/>
      <c r="E29" s="170"/>
      <c r="F29" s="171"/>
      <c r="G29" s="172"/>
      <c r="H29" s="171"/>
      <c r="I29" s="172"/>
      <c r="J29" s="171"/>
      <c r="K29" s="172"/>
      <c r="L29" s="171"/>
      <c r="M29" s="172"/>
      <c r="N29" s="171"/>
      <c r="O29" s="172"/>
      <c r="P29" s="171"/>
      <c r="Q29" s="22"/>
    </row>
    <row r="30" spans="2:21" s="23" customFormat="1" ht="17.5" customHeight="1" x14ac:dyDescent="0.55000000000000004">
      <c r="B30" s="155" t="s">
        <v>6</v>
      </c>
      <c r="C30" s="170" t="s">
        <v>279</v>
      </c>
      <c r="D30" s="171"/>
      <c r="E30" s="170" t="s">
        <v>122</v>
      </c>
      <c r="F30" s="171"/>
      <c r="G30" s="172" t="s">
        <v>57</v>
      </c>
      <c r="H30" s="171"/>
      <c r="I30" s="172" t="s">
        <v>66</v>
      </c>
      <c r="J30" s="171"/>
      <c r="K30" s="172" t="s">
        <v>57</v>
      </c>
      <c r="L30" s="171"/>
      <c r="M30" s="189" t="s">
        <v>40</v>
      </c>
      <c r="N30" s="171"/>
      <c r="O30" s="172" t="s">
        <v>32</v>
      </c>
      <c r="P30" s="171"/>
      <c r="Q30" s="22"/>
    </row>
    <row r="31" spans="2:21" s="23" customFormat="1" ht="17.5" customHeight="1" x14ac:dyDescent="0.55000000000000004">
      <c r="B31" s="155"/>
      <c r="C31" s="170"/>
      <c r="D31" s="171"/>
      <c r="E31" s="170"/>
      <c r="F31" s="171"/>
      <c r="G31" s="172"/>
      <c r="H31" s="171"/>
      <c r="I31" s="172"/>
      <c r="J31" s="171"/>
      <c r="K31" s="172"/>
      <c r="L31" s="171"/>
      <c r="M31" s="172"/>
      <c r="N31" s="171"/>
      <c r="O31" s="172"/>
      <c r="P31" s="171"/>
      <c r="Q31" s="22"/>
    </row>
    <row r="32" spans="2:21" s="23" customFormat="1" ht="17.5" customHeight="1" x14ac:dyDescent="0.55000000000000004">
      <c r="B32" s="155"/>
      <c r="C32" s="170"/>
      <c r="D32" s="171"/>
      <c r="E32" s="170"/>
      <c r="F32" s="171"/>
      <c r="G32" s="172"/>
      <c r="H32" s="171"/>
      <c r="I32" s="172"/>
      <c r="J32" s="171"/>
      <c r="K32" s="172"/>
      <c r="L32" s="171"/>
      <c r="M32" s="172"/>
      <c r="N32" s="171"/>
      <c r="O32" s="172"/>
      <c r="P32" s="171"/>
      <c r="Q32" s="22"/>
    </row>
    <row r="33" spans="2:21" s="23" customFormat="1" ht="17.5" customHeight="1" x14ac:dyDescent="0.55000000000000004">
      <c r="B33" s="163"/>
      <c r="C33" s="173"/>
      <c r="D33" s="174"/>
      <c r="E33" s="173"/>
      <c r="F33" s="174"/>
      <c r="G33" s="175"/>
      <c r="H33" s="174"/>
      <c r="I33" s="175"/>
      <c r="J33" s="174"/>
      <c r="K33" s="175"/>
      <c r="L33" s="174"/>
      <c r="M33" s="175"/>
      <c r="N33" s="174"/>
      <c r="O33" s="175"/>
      <c r="P33" s="174"/>
      <c r="Q33" s="22"/>
    </row>
    <row r="34" spans="2:21" s="51" customFormat="1" ht="18" customHeight="1" x14ac:dyDescent="0.3">
      <c r="B34" s="147"/>
      <c r="C34" s="148">
        <v>11</v>
      </c>
      <c r="D34" s="149" t="s">
        <v>29</v>
      </c>
      <c r="E34" s="148">
        <v>12</v>
      </c>
      <c r="F34" s="149" t="s">
        <v>29</v>
      </c>
      <c r="G34" s="150">
        <v>13</v>
      </c>
      <c r="H34" s="149" t="s">
        <v>29</v>
      </c>
      <c r="I34" s="150">
        <v>14</v>
      </c>
      <c r="J34" s="149" t="s">
        <v>29</v>
      </c>
      <c r="K34" s="150">
        <v>15</v>
      </c>
      <c r="L34" s="149" t="s">
        <v>29</v>
      </c>
      <c r="M34" s="150">
        <v>16</v>
      </c>
      <c r="N34" s="149" t="s">
        <v>29</v>
      </c>
      <c r="O34" s="150">
        <v>17</v>
      </c>
      <c r="P34" s="149" t="s">
        <v>29</v>
      </c>
      <c r="Q34" s="47"/>
      <c r="T34" s="53"/>
      <c r="U34" s="54"/>
    </row>
    <row r="35" spans="2:21" s="23" customFormat="1" ht="17.5" customHeight="1" x14ac:dyDescent="0.55000000000000004">
      <c r="B35" s="155" t="s">
        <v>1</v>
      </c>
      <c r="C35" s="156" t="s">
        <v>222</v>
      </c>
      <c r="D35" s="157"/>
      <c r="E35" s="156" t="s">
        <v>317</v>
      </c>
      <c r="F35" s="157"/>
      <c r="G35" s="158" t="s">
        <v>308</v>
      </c>
      <c r="H35" s="157"/>
      <c r="I35" s="158" t="s">
        <v>45</v>
      </c>
      <c r="J35" s="157"/>
      <c r="K35" s="158" t="s">
        <v>42</v>
      </c>
      <c r="L35" s="157"/>
      <c r="M35" s="158" t="s">
        <v>105</v>
      </c>
      <c r="N35" s="157"/>
      <c r="O35" s="158" t="s">
        <v>32</v>
      </c>
      <c r="P35" s="157"/>
      <c r="Q35" s="22"/>
    </row>
    <row r="36" spans="2:21" s="23" customFormat="1" ht="17.5" customHeight="1" x14ac:dyDescent="0.55000000000000004">
      <c r="B36" s="155"/>
      <c r="C36" s="160"/>
      <c r="D36" s="161"/>
      <c r="E36" s="160"/>
      <c r="F36" s="161"/>
      <c r="G36" s="162"/>
      <c r="H36" s="161"/>
      <c r="I36" s="162"/>
      <c r="J36" s="161"/>
      <c r="K36" s="162"/>
      <c r="L36" s="161"/>
      <c r="M36" s="162"/>
      <c r="N36" s="161"/>
      <c r="O36" s="162"/>
      <c r="P36" s="161"/>
      <c r="Q36" s="22"/>
    </row>
    <row r="37" spans="2:21" s="23" customFormat="1" ht="17.5" customHeight="1" x14ac:dyDescent="0.55000000000000004">
      <c r="B37" s="155" t="s">
        <v>3</v>
      </c>
      <c r="C37" s="160" t="s">
        <v>159</v>
      </c>
      <c r="D37" s="161"/>
      <c r="E37" s="160" t="s">
        <v>283</v>
      </c>
      <c r="F37" s="161"/>
      <c r="G37" s="162" t="s">
        <v>290</v>
      </c>
      <c r="H37" s="161"/>
      <c r="I37" s="162" t="s">
        <v>327</v>
      </c>
      <c r="J37" s="161"/>
      <c r="K37" s="162" t="s">
        <v>298</v>
      </c>
      <c r="L37" s="161"/>
      <c r="M37" s="162" t="s">
        <v>240</v>
      </c>
      <c r="N37" s="161"/>
      <c r="O37" s="162" t="s">
        <v>32</v>
      </c>
      <c r="P37" s="161"/>
      <c r="Q37" s="22"/>
    </row>
    <row r="38" spans="2:21" s="23" customFormat="1" ht="17.5" customHeight="1" x14ac:dyDescent="0.55000000000000004">
      <c r="B38" s="155"/>
      <c r="C38" s="160"/>
      <c r="D38" s="161"/>
      <c r="E38" s="160"/>
      <c r="F38" s="161"/>
      <c r="G38" s="162"/>
      <c r="H38" s="161"/>
      <c r="I38" s="162"/>
      <c r="J38" s="161"/>
      <c r="K38" s="162"/>
      <c r="L38" s="161"/>
      <c r="M38" s="162"/>
      <c r="N38" s="161"/>
      <c r="O38" s="162"/>
      <c r="P38" s="161"/>
      <c r="Q38" s="22"/>
    </row>
    <row r="39" spans="2:21" s="23" customFormat="1" ht="17.5" customHeight="1" x14ac:dyDescent="0.55000000000000004">
      <c r="B39" s="155" t="s">
        <v>4</v>
      </c>
      <c r="C39" s="160" t="s">
        <v>52</v>
      </c>
      <c r="D39" s="161"/>
      <c r="E39" s="160" t="s">
        <v>281</v>
      </c>
      <c r="F39" s="161"/>
      <c r="G39" s="162" t="s">
        <v>97</v>
      </c>
      <c r="H39" s="161"/>
      <c r="I39" s="162" t="s">
        <v>96</v>
      </c>
      <c r="J39" s="161"/>
      <c r="K39" s="162" t="s">
        <v>77</v>
      </c>
      <c r="L39" s="161"/>
      <c r="M39" s="162" t="s">
        <v>38</v>
      </c>
      <c r="N39" s="161"/>
      <c r="O39" s="162" t="s">
        <v>32</v>
      </c>
      <c r="P39" s="161"/>
      <c r="Q39" s="22"/>
    </row>
    <row r="40" spans="2:21" s="23" customFormat="1" ht="17.5" customHeight="1" x14ac:dyDescent="0.55000000000000004">
      <c r="B40" s="155"/>
      <c r="C40" s="160"/>
      <c r="D40" s="161"/>
      <c r="E40" s="160"/>
      <c r="F40" s="161"/>
      <c r="G40" s="162"/>
      <c r="H40" s="161"/>
      <c r="I40" s="162"/>
      <c r="J40" s="161"/>
      <c r="K40" s="162"/>
      <c r="L40" s="161"/>
      <c r="M40" s="162"/>
      <c r="N40" s="161"/>
      <c r="O40" s="162"/>
      <c r="P40" s="161"/>
      <c r="Q40" s="22"/>
    </row>
    <row r="41" spans="2:21" s="23" customFormat="1" ht="17.5" customHeight="1" x14ac:dyDescent="0.55000000000000004">
      <c r="B41" s="155" t="s">
        <v>30</v>
      </c>
      <c r="C41" s="160" t="s">
        <v>57</v>
      </c>
      <c r="D41" s="161"/>
      <c r="E41" s="160" t="s">
        <v>40</v>
      </c>
      <c r="F41" s="161"/>
      <c r="G41" s="162" t="s">
        <v>289</v>
      </c>
      <c r="H41" s="161"/>
      <c r="I41" s="162" t="s">
        <v>38</v>
      </c>
      <c r="J41" s="161"/>
      <c r="K41" s="162" t="s">
        <v>85</v>
      </c>
      <c r="L41" s="161"/>
      <c r="M41" s="162" t="s">
        <v>188</v>
      </c>
      <c r="N41" s="161"/>
      <c r="O41" s="162" t="s">
        <v>32</v>
      </c>
      <c r="P41" s="161"/>
      <c r="Q41" s="22"/>
    </row>
    <row r="42" spans="2:21" s="23" customFormat="1" ht="17.5" customHeight="1" x14ac:dyDescent="0.55000000000000004">
      <c r="B42" s="155"/>
      <c r="C42" s="160"/>
      <c r="D42" s="161"/>
      <c r="E42" s="160"/>
      <c r="F42" s="161"/>
      <c r="G42" s="162"/>
      <c r="H42" s="161"/>
      <c r="I42" s="162"/>
      <c r="J42" s="161"/>
      <c r="K42" s="162"/>
      <c r="L42" s="161"/>
      <c r="M42" s="162"/>
      <c r="N42" s="161"/>
      <c r="O42" s="162"/>
      <c r="P42" s="161"/>
      <c r="Q42" s="22"/>
    </row>
    <row r="43" spans="2:21" s="23" customFormat="1" ht="17.5" customHeight="1" x14ac:dyDescent="0.55000000000000004">
      <c r="B43" s="155" t="s">
        <v>6</v>
      </c>
      <c r="C43" s="160" t="s">
        <v>84</v>
      </c>
      <c r="D43" s="161"/>
      <c r="E43" s="160" t="s">
        <v>62</v>
      </c>
      <c r="F43" s="161"/>
      <c r="G43" s="162" t="s">
        <v>234</v>
      </c>
      <c r="H43" s="161"/>
      <c r="I43" s="162" t="s">
        <v>66</v>
      </c>
      <c r="J43" s="161"/>
      <c r="K43" s="162" t="s">
        <v>82</v>
      </c>
      <c r="L43" s="161"/>
      <c r="M43" s="162" t="s">
        <v>40</v>
      </c>
      <c r="N43" s="161"/>
      <c r="O43" s="162" t="s">
        <v>32</v>
      </c>
      <c r="P43" s="161"/>
      <c r="Q43" s="22"/>
    </row>
    <row r="44" spans="2:21" s="23" customFormat="1" ht="17.5" customHeight="1" x14ac:dyDescent="0.55000000000000004">
      <c r="B44" s="155"/>
      <c r="C44" s="160"/>
      <c r="D44" s="161"/>
      <c r="E44" s="160"/>
      <c r="F44" s="161"/>
      <c r="G44" s="162"/>
      <c r="H44" s="161"/>
      <c r="I44" s="162"/>
      <c r="J44" s="161"/>
      <c r="K44" s="162"/>
      <c r="L44" s="161"/>
      <c r="M44" s="162"/>
      <c r="N44" s="161"/>
      <c r="O44" s="162"/>
      <c r="P44" s="161"/>
      <c r="Q44" s="22"/>
    </row>
    <row r="45" spans="2:21" s="23" customFormat="1" ht="17.5" customHeight="1" x14ac:dyDescent="0.55000000000000004">
      <c r="B45" s="155"/>
      <c r="C45" s="160"/>
      <c r="D45" s="161"/>
      <c r="E45" s="160"/>
      <c r="F45" s="161"/>
      <c r="G45" s="162"/>
      <c r="H45" s="161"/>
      <c r="I45" s="162"/>
      <c r="J45" s="161"/>
      <c r="K45" s="162"/>
      <c r="L45" s="161"/>
      <c r="M45" s="162"/>
      <c r="N45" s="161"/>
      <c r="O45" s="162"/>
      <c r="P45" s="161"/>
      <c r="Q45" s="22"/>
    </row>
    <row r="46" spans="2:21" s="23" customFormat="1" ht="17.5" customHeight="1" x14ac:dyDescent="0.55000000000000004">
      <c r="B46" s="163"/>
      <c r="C46" s="164"/>
      <c r="D46" s="165"/>
      <c r="E46" s="164"/>
      <c r="F46" s="165"/>
      <c r="G46" s="166"/>
      <c r="H46" s="165"/>
      <c r="I46" s="166"/>
      <c r="J46" s="165"/>
      <c r="K46" s="166"/>
      <c r="L46" s="165"/>
      <c r="M46" s="166"/>
      <c r="N46" s="165"/>
      <c r="O46" s="166"/>
      <c r="P46" s="165"/>
      <c r="Q46" s="22"/>
    </row>
    <row r="47" spans="2:21" s="51" customFormat="1" ht="18" customHeight="1" x14ac:dyDescent="0.3">
      <c r="B47" s="147"/>
      <c r="C47" s="148">
        <v>18</v>
      </c>
      <c r="D47" s="149" t="s">
        <v>29</v>
      </c>
      <c r="E47" s="148">
        <v>19</v>
      </c>
      <c r="F47" s="149" t="s">
        <v>29</v>
      </c>
      <c r="G47" s="150">
        <v>20</v>
      </c>
      <c r="H47" s="149" t="s">
        <v>29</v>
      </c>
      <c r="I47" s="150">
        <v>21</v>
      </c>
      <c r="J47" s="149" t="s">
        <v>29</v>
      </c>
      <c r="K47" s="150">
        <v>22</v>
      </c>
      <c r="L47" s="149" t="s">
        <v>29</v>
      </c>
      <c r="M47" s="150">
        <v>23</v>
      </c>
      <c r="N47" s="149" t="s">
        <v>29</v>
      </c>
      <c r="O47" s="150">
        <v>24</v>
      </c>
      <c r="P47" s="149" t="s">
        <v>29</v>
      </c>
      <c r="Q47" s="47"/>
      <c r="T47" s="53"/>
      <c r="U47" s="54"/>
    </row>
    <row r="48" spans="2:21" s="23" customFormat="1" ht="17.5" customHeight="1" x14ac:dyDescent="0.55000000000000004">
      <c r="B48" s="155" t="s">
        <v>1</v>
      </c>
      <c r="C48" s="192" t="s">
        <v>31</v>
      </c>
      <c r="D48" s="168"/>
      <c r="E48" s="167" t="s">
        <v>124</v>
      </c>
      <c r="F48" s="168"/>
      <c r="G48" s="169" t="s">
        <v>42</v>
      </c>
      <c r="H48" s="168"/>
      <c r="I48" s="169" t="s">
        <v>161</v>
      </c>
      <c r="J48" s="168"/>
      <c r="K48" s="194" t="s">
        <v>105</v>
      </c>
      <c r="L48" s="168"/>
      <c r="M48" s="169" t="s">
        <v>31</v>
      </c>
      <c r="N48" s="168"/>
      <c r="O48" s="169" t="s">
        <v>141</v>
      </c>
      <c r="P48" s="168"/>
      <c r="Q48" s="22"/>
    </row>
    <row r="49" spans="2:21" s="23" customFormat="1" ht="17.5" customHeight="1" x14ac:dyDescent="0.55000000000000004">
      <c r="B49" s="155"/>
      <c r="C49" s="193"/>
      <c r="D49" s="171"/>
      <c r="E49" s="170"/>
      <c r="F49" s="171"/>
      <c r="G49" s="172"/>
      <c r="H49" s="171"/>
      <c r="I49" s="172"/>
      <c r="J49" s="171"/>
      <c r="K49" s="195"/>
      <c r="L49" s="171"/>
      <c r="M49" s="172"/>
      <c r="N49" s="171"/>
      <c r="O49" s="172"/>
      <c r="P49" s="171"/>
      <c r="Q49" s="22"/>
    </row>
    <row r="50" spans="2:21" s="23" customFormat="1" ht="17.5" customHeight="1" x14ac:dyDescent="0.55000000000000004">
      <c r="B50" s="155" t="s">
        <v>3</v>
      </c>
      <c r="C50" s="193" t="s">
        <v>126</v>
      </c>
      <c r="D50" s="171"/>
      <c r="E50" s="170" t="s">
        <v>142</v>
      </c>
      <c r="F50" s="171"/>
      <c r="G50" s="172" t="s">
        <v>192</v>
      </c>
      <c r="H50" s="171"/>
      <c r="I50" s="172" t="s">
        <v>331</v>
      </c>
      <c r="J50" s="171"/>
      <c r="K50" s="195" t="s">
        <v>323</v>
      </c>
      <c r="L50" s="171"/>
      <c r="M50" s="172" t="s">
        <v>51</v>
      </c>
      <c r="N50" s="171"/>
      <c r="O50" s="172" t="s">
        <v>32</v>
      </c>
      <c r="P50" s="171"/>
      <c r="Q50" s="22"/>
    </row>
    <row r="51" spans="2:21" s="23" customFormat="1" ht="17.5" customHeight="1" x14ac:dyDescent="0.55000000000000004">
      <c r="B51" s="155"/>
      <c r="C51" s="193"/>
      <c r="D51" s="171"/>
      <c r="E51" s="170"/>
      <c r="F51" s="171"/>
      <c r="G51" s="172"/>
      <c r="H51" s="171"/>
      <c r="I51" s="172"/>
      <c r="J51" s="171"/>
      <c r="K51" s="195"/>
      <c r="L51" s="171"/>
      <c r="M51" s="172"/>
      <c r="N51" s="171"/>
      <c r="O51" s="172"/>
      <c r="P51" s="171"/>
      <c r="Q51" s="22"/>
    </row>
    <row r="52" spans="2:21" s="23" customFormat="1" ht="17.5" customHeight="1" x14ac:dyDescent="0.55000000000000004">
      <c r="B52" s="155" t="s">
        <v>4</v>
      </c>
      <c r="C52" s="193" t="s">
        <v>97</v>
      </c>
      <c r="D52" s="171"/>
      <c r="E52" s="170" t="s">
        <v>281</v>
      </c>
      <c r="F52" s="171"/>
      <c r="G52" s="172" t="s">
        <v>52</v>
      </c>
      <c r="H52" s="171"/>
      <c r="I52" s="172" t="s">
        <v>97</v>
      </c>
      <c r="J52" s="171"/>
      <c r="K52" s="195" t="s">
        <v>112</v>
      </c>
      <c r="L52" s="171"/>
      <c r="M52" s="172" t="s">
        <v>316</v>
      </c>
      <c r="N52" s="171"/>
      <c r="O52" s="172" t="s">
        <v>32</v>
      </c>
      <c r="P52" s="171"/>
      <c r="Q52" s="22"/>
    </row>
    <row r="53" spans="2:21" s="23" customFormat="1" ht="17.5" customHeight="1" x14ac:dyDescent="0.55000000000000004">
      <c r="B53" s="155"/>
      <c r="C53" s="193"/>
      <c r="D53" s="171"/>
      <c r="E53" s="170"/>
      <c r="F53" s="171"/>
      <c r="G53" s="172"/>
      <c r="H53" s="171"/>
      <c r="I53" s="172"/>
      <c r="J53" s="171"/>
      <c r="K53" s="195"/>
      <c r="L53" s="171"/>
      <c r="M53" s="172"/>
      <c r="N53" s="171"/>
      <c r="O53" s="172"/>
      <c r="P53" s="171"/>
      <c r="Q53" s="22"/>
    </row>
    <row r="54" spans="2:21" s="23" customFormat="1" ht="17.5" customHeight="1" x14ac:dyDescent="0.55000000000000004">
      <c r="B54" s="155" t="s">
        <v>30</v>
      </c>
      <c r="C54" s="193" t="s">
        <v>40</v>
      </c>
      <c r="D54" s="171"/>
      <c r="E54" s="170" t="s">
        <v>318</v>
      </c>
      <c r="F54" s="171"/>
      <c r="G54" s="172" t="s">
        <v>38</v>
      </c>
      <c r="H54" s="171"/>
      <c r="I54" s="172" t="s">
        <v>57</v>
      </c>
      <c r="J54" s="171"/>
      <c r="K54" s="195" t="s">
        <v>38</v>
      </c>
      <c r="L54" s="171"/>
      <c r="M54" s="172" t="s">
        <v>38</v>
      </c>
      <c r="N54" s="171"/>
      <c r="O54" s="172" t="s">
        <v>32</v>
      </c>
      <c r="P54" s="171"/>
      <c r="Q54" s="22"/>
    </row>
    <row r="55" spans="2:21" s="23" customFormat="1" ht="17.5" customHeight="1" x14ac:dyDescent="0.55000000000000004">
      <c r="B55" s="155"/>
      <c r="C55" s="193"/>
      <c r="D55" s="171"/>
      <c r="E55" s="170"/>
      <c r="F55" s="171"/>
      <c r="G55" s="172"/>
      <c r="H55" s="171"/>
      <c r="I55" s="172"/>
      <c r="J55" s="171"/>
      <c r="K55" s="195"/>
      <c r="L55" s="171"/>
      <c r="M55" s="172"/>
      <c r="N55" s="171"/>
      <c r="O55" s="172"/>
      <c r="P55" s="171"/>
      <c r="Q55" s="22"/>
    </row>
    <row r="56" spans="2:21" s="23" customFormat="1" ht="17.5" customHeight="1" x14ac:dyDescent="0.55000000000000004">
      <c r="B56" s="155" t="s">
        <v>6</v>
      </c>
      <c r="C56" s="193" t="s">
        <v>66</v>
      </c>
      <c r="D56" s="171"/>
      <c r="E56" s="170" t="s">
        <v>322</v>
      </c>
      <c r="F56" s="171"/>
      <c r="G56" s="172" t="s">
        <v>122</v>
      </c>
      <c r="H56" s="171"/>
      <c r="I56" s="172" t="s">
        <v>121</v>
      </c>
      <c r="J56" s="171"/>
      <c r="K56" s="195" t="s">
        <v>324</v>
      </c>
      <c r="L56" s="171"/>
      <c r="M56" s="172" t="s">
        <v>40</v>
      </c>
      <c r="N56" s="171"/>
      <c r="O56" s="172" t="s">
        <v>32</v>
      </c>
      <c r="P56" s="171"/>
      <c r="Q56" s="22"/>
    </row>
    <row r="57" spans="2:21" s="23" customFormat="1" ht="17.5" customHeight="1" x14ac:dyDescent="0.55000000000000004">
      <c r="B57" s="155"/>
      <c r="C57" s="193"/>
      <c r="D57" s="171"/>
      <c r="E57" s="170"/>
      <c r="F57" s="171"/>
      <c r="G57" s="172"/>
      <c r="H57" s="171"/>
      <c r="I57" s="172"/>
      <c r="J57" s="171"/>
      <c r="K57" s="172"/>
      <c r="L57" s="171"/>
      <c r="M57" s="172"/>
      <c r="N57" s="171"/>
      <c r="O57" s="172"/>
      <c r="P57" s="171"/>
      <c r="Q57" s="22"/>
    </row>
    <row r="58" spans="2:21" s="23" customFormat="1" ht="17.5" customHeight="1" x14ac:dyDescent="0.55000000000000004">
      <c r="B58" s="155"/>
      <c r="C58" s="170"/>
      <c r="D58" s="171"/>
      <c r="E58" s="170"/>
      <c r="F58" s="171"/>
      <c r="G58" s="172"/>
      <c r="H58" s="171"/>
      <c r="I58" s="172"/>
      <c r="J58" s="171"/>
      <c r="K58" s="172"/>
      <c r="L58" s="171"/>
      <c r="M58" s="172"/>
      <c r="N58" s="171"/>
      <c r="O58" s="172"/>
      <c r="P58" s="171"/>
      <c r="Q58" s="22"/>
    </row>
    <row r="59" spans="2:21" s="23" customFormat="1" ht="17.5" customHeight="1" x14ac:dyDescent="0.55000000000000004">
      <c r="B59" s="163"/>
      <c r="C59" s="173"/>
      <c r="D59" s="174"/>
      <c r="E59" s="173"/>
      <c r="F59" s="174"/>
      <c r="G59" s="175"/>
      <c r="H59" s="174"/>
      <c r="I59" s="175"/>
      <c r="J59" s="174"/>
      <c r="K59" s="175"/>
      <c r="L59" s="174"/>
      <c r="M59" s="175"/>
      <c r="N59" s="174"/>
      <c r="O59" s="175"/>
      <c r="P59" s="174"/>
      <c r="Q59" s="22"/>
    </row>
    <row r="60" spans="2:21" s="51" customFormat="1" ht="18" customHeight="1" x14ac:dyDescent="0.3">
      <c r="B60" s="147"/>
      <c r="C60" s="148">
        <v>25</v>
      </c>
      <c r="D60" s="149" t="s">
        <v>29</v>
      </c>
      <c r="E60" s="148">
        <v>26</v>
      </c>
      <c r="F60" s="149" t="s">
        <v>29</v>
      </c>
      <c r="G60" s="150">
        <v>27</v>
      </c>
      <c r="H60" s="149" t="s">
        <v>29</v>
      </c>
      <c r="I60" s="150">
        <v>28</v>
      </c>
      <c r="J60" s="149" t="s">
        <v>29</v>
      </c>
      <c r="K60" s="150">
        <v>29</v>
      </c>
      <c r="L60" s="149" t="s">
        <v>29</v>
      </c>
      <c r="M60" s="150">
        <v>30</v>
      </c>
      <c r="N60" s="149" t="s">
        <v>29</v>
      </c>
      <c r="O60" s="150"/>
      <c r="P60" s="149" t="s">
        <v>29</v>
      </c>
      <c r="Q60" s="47"/>
      <c r="T60" s="53"/>
      <c r="U60" s="54"/>
    </row>
    <row r="61" spans="2:21" s="23" customFormat="1" ht="17.5" customHeight="1" x14ac:dyDescent="0.55000000000000004">
      <c r="B61" s="155" t="s">
        <v>1</v>
      </c>
      <c r="C61" s="156" t="s">
        <v>105</v>
      </c>
      <c r="D61" s="157"/>
      <c r="E61" s="156" t="s">
        <v>326</v>
      </c>
      <c r="F61" s="157"/>
      <c r="G61" s="158" t="s">
        <v>31</v>
      </c>
      <c r="H61" s="157"/>
      <c r="I61" s="158" t="s">
        <v>45</v>
      </c>
      <c r="J61" s="157"/>
      <c r="K61" s="158" t="s">
        <v>42</v>
      </c>
      <c r="L61" s="157"/>
      <c r="M61" s="158" t="s">
        <v>44</v>
      </c>
      <c r="N61" s="157"/>
      <c r="O61" s="158"/>
      <c r="P61" s="157"/>
      <c r="Q61" s="22"/>
    </row>
    <row r="62" spans="2:21" s="23" customFormat="1" ht="17.5" customHeight="1" x14ac:dyDescent="0.55000000000000004">
      <c r="B62" s="155"/>
      <c r="C62" s="160"/>
      <c r="D62" s="161"/>
      <c r="E62" s="160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22"/>
    </row>
    <row r="63" spans="2:21" s="23" customFormat="1" ht="17.5" customHeight="1" x14ac:dyDescent="0.55000000000000004">
      <c r="B63" s="155" t="s">
        <v>3</v>
      </c>
      <c r="C63" s="160" t="s">
        <v>293</v>
      </c>
      <c r="D63" s="161"/>
      <c r="E63" s="160" t="s">
        <v>325</v>
      </c>
      <c r="F63" s="161"/>
      <c r="G63" s="162" t="s">
        <v>144</v>
      </c>
      <c r="H63" s="161"/>
      <c r="I63" s="162" t="s">
        <v>210</v>
      </c>
      <c r="J63" s="161"/>
      <c r="K63" s="162" t="s">
        <v>278</v>
      </c>
      <c r="L63" s="161"/>
      <c r="M63" s="162" t="s">
        <v>34</v>
      </c>
      <c r="N63" s="161"/>
      <c r="O63" s="162"/>
      <c r="P63" s="161"/>
      <c r="Q63" s="22"/>
    </row>
    <row r="64" spans="2:21" s="23" customFormat="1" ht="17.5" customHeight="1" x14ac:dyDescent="0.55000000000000004">
      <c r="B64" s="155"/>
      <c r="C64" s="160"/>
      <c r="D64" s="161"/>
      <c r="E64" s="160"/>
      <c r="F64" s="161"/>
      <c r="G64" s="162"/>
      <c r="H64" s="161"/>
      <c r="I64" s="162"/>
      <c r="J64" s="161"/>
      <c r="K64" s="162"/>
      <c r="L64" s="161"/>
      <c r="M64" s="162"/>
      <c r="N64" s="161"/>
      <c r="O64" s="162"/>
      <c r="P64" s="161"/>
      <c r="Q64" s="22"/>
    </row>
    <row r="65" spans="1:21" s="23" customFormat="1" ht="17.5" customHeight="1" x14ac:dyDescent="0.55000000000000004">
      <c r="B65" s="155" t="s">
        <v>4</v>
      </c>
      <c r="C65" s="160" t="s">
        <v>97</v>
      </c>
      <c r="D65" s="161"/>
      <c r="E65" s="160" t="s">
        <v>201</v>
      </c>
      <c r="F65" s="161"/>
      <c r="G65" s="162" t="s">
        <v>96</v>
      </c>
      <c r="H65" s="161"/>
      <c r="I65" s="162" t="s">
        <v>309</v>
      </c>
      <c r="J65" s="161"/>
      <c r="K65" s="162" t="s">
        <v>214</v>
      </c>
      <c r="L65" s="161"/>
      <c r="M65" s="162" t="s">
        <v>77</v>
      </c>
      <c r="N65" s="161"/>
      <c r="O65" s="162"/>
      <c r="P65" s="161"/>
      <c r="Q65" s="22"/>
    </row>
    <row r="66" spans="1:21" s="23" customFormat="1" ht="17.5" customHeight="1" x14ac:dyDescent="0.55000000000000004">
      <c r="B66" s="155"/>
      <c r="C66" s="160"/>
      <c r="D66" s="161"/>
      <c r="E66" s="160"/>
      <c r="F66" s="161"/>
      <c r="G66" s="162"/>
      <c r="H66" s="161"/>
      <c r="I66" s="162"/>
      <c r="J66" s="161"/>
      <c r="K66" s="162"/>
      <c r="L66" s="161"/>
      <c r="M66" s="162"/>
      <c r="N66" s="161"/>
      <c r="O66" s="162"/>
      <c r="P66" s="161"/>
      <c r="Q66" s="22"/>
    </row>
    <row r="67" spans="1:21" s="23" customFormat="1" ht="17.5" customHeight="1" x14ac:dyDescent="0.55000000000000004">
      <c r="B67" s="155" t="s">
        <v>30</v>
      </c>
      <c r="C67" s="160" t="s">
        <v>57</v>
      </c>
      <c r="D67" s="161"/>
      <c r="E67" s="160" t="s">
        <v>319</v>
      </c>
      <c r="F67" s="161"/>
      <c r="G67" s="162" t="s">
        <v>38</v>
      </c>
      <c r="H67" s="161"/>
      <c r="I67" s="162" t="s">
        <v>57</v>
      </c>
      <c r="J67" s="161"/>
      <c r="K67" s="162" t="s">
        <v>57</v>
      </c>
      <c r="L67" s="161"/>
      <c r="M67" s="162" t="s">
        <v>38</v>
      </c>
      <c r="N67" s="161"/>
      <c r="O67" s="162"/>
      <c r="P67" s="161"/>
      <c r="Q67" s="22"/>
    </row>
    <row r="68" spans="1:21" s="23" customFormat="1" ht="17.5" customHeight="1" x14ac:dyDescent="0.55000000000000004">
      <c r="B68" s="155"/>
      <c r="C68" s="160"/>
      <c r="D68" s="161"/>
      <c r="E68" s="160"/>
      <c r="F68" s="161"/>
      <c r="G68" s="162"/>
      <c r="H68" s="161"/>
      <c r="I68" s="162"/>
      <c r="J68" s="161"/>
      <c r="K68" s="162"/>
      <c r="L68" s="161"/>
      <c r="M68" s="162"/>
      <c r="N68" s="161"/>
      <c r="O68" s="162"/>
      <c r="P68" s="161"/>
      <c r="Q68" s="22"/>
    </row>
    <row r="69" spans="1:21" s="23" customFormat="1" ht="17.5" customHeight="1" x14ac:dyDescent="0.55000000000000004">
      <c r="B69" s="155" t="s">
        <v>6</v>
      </c>
      <c r="C69" s="160" t="s">
        <v>40</v>
      </c>
      <c r="D69" s="161"/>
      <c r="E69" s="160" t="s">
        <v>122</v>
      </c>
      <c r="F69" s="161"/>
      <c r="G69" s="162" t="s">
        <v>288</v>
      </c>
      <c r="H69" s="161"/>
      <c r="I69" s="162" t="s">
        <v>66</v>
      </c>
      <c r="J69" s="161"/>
      <c r="K69" s="162" t="s">
        <v>321</v>
      </c>
      <c r="L69" s="161"/>
      <c r="M69" s="162" t="s">
        <v>320</v>
      </c>
      <c r="N69" s="161"/>
      <c r="O69" s="162"/>
      <c r="P69" s="161"/>
      <c r="Q69" s="22"/>
    </row>
    <row r="70" spans="1:21" s="23" customFormat="1" ht="17.5" customHeight="1" x14ac:dyDescent="0.55000000000000004">
      <c r="B70" s="155"/>
      <c r="C70" s="160"/>
      <c r="D70" s="161"/>
      <c r="E70" s="160"/>
      <c r="F70" s="161"/>
      <c r="G70" s="162"/>
      <c r="H70" s="161"/>
      <c r="I70" s="162"/>
      <c r="J70" s="161"/>
      <c r="K70" s="162"/>
      <c r="L70" s="161"/>
      <c r="M70" s="162"/>
      <c r="N70" s="161"/>
      <c r="O70" s="162"/>
      <c r="P70" s="161"/>
      <c r="Q70" s="22"/>
    </row>
    <row r="71" spans="1:21" s="23" customFormat="1" ht="17.5" customHeight="1" x14ac:dyDescent="0.55000000000000004">
      <c r="B71" s="155"/>
      <c r="C71" s="160"/>
      <c r="D71" s="161"/>
      <c r="E71" s="160"/>
      <c r="F71" s="161"/>
      <c r="G71" s="162"/>
      <c r="H71" s="161"/>
      <c r="I71" s="162"/>
      <c r="J71" s="161"/>
      <c r="K71" s="162"/>
      <c r="L71" s="161"/>
      <c r="M71" s="162"/>
      <c r="N71" s="161"/>
      <c r="O71" s="162"/>
      <c r="P71" s="161"/>
      <c r="Q71" s="22"/>
    </row>
    <row r="72" spans="1:21" s="23" customFormat="1" ht="17.5" customHeight="1" x14ac:dyDescent="0.55000000000000004">
      <c r="B72" s="163"/>
      <c r="C72" s="164"/>
      <c r="D72" s="165"/>
      <c r="E72" s="164"/>
      <c r="F72" s="165"/>
      <c r="G72" s="166"/>
      <c r="H72" s="165"/>
      <c r="I72" s="166"/>
      <c r="J72" s="165"/>
      <c r="K72" s="166"/>
      <c r="L72" s="165"/>
      <c r="M72" s="166"/>
      <c r="N72" s="165"/>
      <c r="O72" s="166"/>
      <c r="P72" s="165"/>
      <c r="Q72" s="22"/>
    </row>
    <row r="73" spans="1:21" s="21" customFormat="1" ht="18" customHeight="1" x14ac:dyDescent="0.3">
      <c r="A73" s="51"/>
      <c r="B73" s="147"/>
      <c r="C73" s="148" t="str">
        <f>IF(DAY(MarSun1)=1,IF(AND(YEAR(MarSun1+29)=CalendarYear,MONTH(MarSun1+29)=3),MarSun1+29,""),IF(AND(YEAR(MarSun1+36)=CalendarYear,MONTH(MarSun1+36)=3),MarSun1+36,""))</f>
        <v/>
      </c>
      <c r="D73" s="149" t="s">
        <v>29</v>
      </c>
      <c r="E73" s="148" t="str">
        <f>IF(DAY(MarSun1)=1,IF(AND(YEAR(MarSun1+30)=CalendarYear,MONTH(MarSun1+30)=3),MarSun1+30,""),IF(AND(YEAR(MarSun1+37)=CalendarYear,MONTH(MarSun1+37)=3),MarSun1+37,""))</f>
        <v/>
      </c>
      <c r="F73" s="149" t="s">
        <v>29</v>
      </c>
      <c r="G73" s="150" t="s">
        <v>14</v>
      </c>
      <c r="H73" s="178"/>
      <c r="I73" s="179"/>
      <c r="J73" s="178"/>
      <c r="K73" s="179"/>
      <c r="L73" s="178"/>
      <c r="M73" s="179"/>
      <c r="N73" s="178"/>
      <c r="O73" s="179"/>
      <c r="P73" s="178"/>
      <c r="Q73" s="22"/>
      <c r="T73" s="23"/>
      <c r="U73" s="24"/>
    </row>
    <row r="74" spans="1:21" s="23" customFormat="1" ht="17.5" customHeight="1" x14ac:dyDescent="0.55000000000000004">
      <c r="B74" s="155" t="s">
        <v>1</v>
      </c>
      <c r="C74" s="167"/>
      <c r="D74" s="168"/>
      <c r="E74" s="167"/>
      <c r="F74" s="168"/>
      <c r="G74" s="278" t="s">
        <v>247</v>
      </c>
      <c r="H74" s="279"/>
      <c r="I74" s="279"/>
      <c r="J74" s="279"/>
      <c r="K74" s="279"/>
      <c r="L74" s="279"/>
      <c r="M74" s="279"/>
      <c r="N74" s="279"/>
      <c r="O74" s="279"/>
      <c r="P74" s="280"/>
      <c r="Q74" s="22"/>
    </row>
    <row r="75" spans="1:21" s="23" customFormat="1" ht="17.5" customHeight="1" x14ac:dyDescent="0.55000000000000004">
      <c r="B75" s="155"/>
      <c r="C75" s="170"/>
      <c r="D75" s="171"/>
      <c r="E75" s="170"/>
      <c r="F75" s="171"/>
      <c r="G75" s="281"/>
      <c r="H75" s="282"/>
      <c r="I75" s="282"/>
      <c r="J75" s="282"/>
      <c r="K75" s="282"/>
      <c r="L75" s="282"/>
      <c r="M75" s="282"/>
      <c r="N75" s="282"/>
      <c r="O75" s="282"/>
      <c r="P75" s="283"/>
      <c r="Q75" s="22"/>
    </row>
    <row r="76" spans="1:21" s="23" customFormat="1" ht="17.5" customHeight="1" x14ac:dyDescent="0.55000000000000004">
      <c r="B76" s="155" t="s">
        <v>3</v>
      </c>
      <c r="C76" s="170"/>
      <c r="D76" s="171"/>
      <c r="E76" s="170"/>
      <c r="F76" s="171"/>
      <c r="G76" s="281"/>
      <c r="H76" s="282"/>
      <c r="I76" s="282"/>
      <c r="J76" s="282"/>
      <c r="K76" s="282"/>
      <c r="L76" s="282"/>
      <c r="M76" s="282"/>
      <c r="N76" s="282"/>
      <c r="O76" s="282"/>
      <c r="P76" s="283"/>
      <c r="Q76" s="22"/>
    </row>
    <row r="77" spans="1:21" s="23" customFormat="1" ht="17.5" customHeight="1" x14ac:dyDescent="0.55000000000000004">
      <c r="B77" s="155"/>
      <c r="C77" s="170"/>
      <c r="D77" s="171"/>
      <c r="E77" s="170"/>
      <c r="F77" s="171"/>
      <c r="G77" s="281"/>
      <c r="H77" s="282"/>
      <c r="I77" s="282"/>
      <c r="J77" s="282"/>
      <c r="K77" s="282"/>
      <c r="L77" s="282"/>
      <c r="M77" s="282"/>
      <c r="N77" s="282"/>
      <c r="O77" s="282"/>
      <c r="P77" s="283"/>
      <c r="Q77" s="22"/>
    </row>
    <row r="78" spans="1:21" s="23" customFormat="1" ht="17.5" customHeight="1" x14ac:dyDescent="0.55000000000000004">
      <c r="B78" s="155" t="s">
        <v>4</v>
      </c>
      <c r="C78" s="170"/>
      <c r="D78" s="171"/>
      <c r="E78" s="170"/>
      <c r="F78" s="171"/>
      <c r="G78" s="281"/>
      <c r="H78" s="282"/>
      <c r="I78" s="282"/>
      <c r="J78" s="282"/>
      <c r="K78" s="282"/>
      <c r="L78" s="282"/>
      <c r="M78" s="282"/>
      <c r="N78" s="282"/>
      <c r="O78" s="282"/>
      <c r="P78" s="283"/>
      <c r="Q78" s="22"/>
    </row>
    <row r="79" spans="1:21" s="23" customFormat="1" ht="17.5" customHeight="1" x14ac:dyDescent="0.55000000000000004">
      <c r="B79" s="155"/>
      <c r="C79" s="170"/>
      <c r="D79" s="171"/>
      <c r="E79" s="170"/>
      <c r="F79" s="171"/>
      <c r="G79" s="281"/>
      <c r="H79" s="282"/>
      <c r="I79" s="282"/>
      <c r="J79" s="282"/>
      <c r="K79" s="282"/>
      <c r="L79" s="282"/>
      <c r="M79" s="282"/>
      <c r="N79" s="282"/>
      <c r="O79" s="282"/>
      <c r="P79" s="283"/>
      <c r="Q79" s="22"/>
    </row>
    <row r="80" spans="1:21" s="23" customFormat="1" ht="17.5" customHeight="1" x14ac:dyDescent="0.55000000000000004">
      <c r="B80" s="155" t="s">
        <v>30</v>
      </c>
      <c r="C80" s="170"/>
      <c r="D80" s="171"/>
      <c r="E80" s="170"/>
      <c r="F80" s="171"/>
      <c r="G80" s="281"/>
      <c r="H80" s="282"/>
      <c r="I80" s="282"/>
      <c r="J80" s="282"/>
      <c r="K80" s="282"/>
      <c r="L80" s="282"/>
      <c r="M80" s="282"/>
      <c r="N80" s="282"/>
      <c r="O80" s="282"/>
      <c r="P80" s="283"/>
      <c r="Q80" s="22"/>
    </row>
    <row r="81" spans="1:17" s="23" customFormat="1" ht="17.5" customHeight="1" x14ac:dyDescent="0.55000000000000004">
      <c r="B81" s="155"/>
      <c r="C81" s="170"/>
      <c r="D81" s="171"/>
      <c r="E81" s="170"/>
      <c r="F81" s="171"/>
      <c r="G81" s="281"/>
      <c r="H81" s="282"/>
      <c r="I81" s="282"/>
      <c r="J81" s="282"/>
      <c r="K81" s="282"/>
      <c r="L81" s="282"/>
      <c r="M81" s="282"/>
      <c r="N81" s="282"/>
      <c r="O81" s="282"/>
      <c r="P81" s="283"/>
      <c r="Q81" s="22"/>
    </row>
    <row r="82" spans="1:17" s="23" customFormat="1" ht="17.5" customHeight="1" x14ac:dyDescent="0.55000000000000004">
      <c r="B82" s="155" t="s">
        <v>6</v>
      </c>
      <c r="C82" s="170"/>
      <c r="D82" s="171"/>
      <c r="E82" s="170"/>
      <c r="F82" s="171"/>
      <c r="G82" s="281"/>
      <c r="H82" s="282"/>
      <c r="I82" s="282"/>
      <c r="J82" s="282"/>
      <c r="K82" s="282"/>
      <c r="L82" s="282"/>
      <c r="M82" s="282"/>
      <c r="N82" s="282"/>
      <c r="O82" s="282"/>
      <c r="P82" s="283"/>
      <c r="Q82" s="22"/>
    </row>
    <row r="83" spans="1:17" s="23" customFormat="1" ht="17.5" customHeight="1" x14ac:dyDescent="0.55000000000000004">
      <c r="B83" s="155"/>
      <c r="C83" s="170"/>
      <c r="D83" s="171"/>
      <c r="E83" s="170"/>
      <c r="F83" s="171"/>
      <c r="G83" s="281"/>
      <c r="H83" s="282"/>
      <c r="I83" s="282"/>
      <c r="J83" s="282"/>
      <c r="K83" s="282"/>
      <c r="L83" s="282"/>
      <c r="M83" s="282"/>
      <c r="N83" s="282"/>
      <c r="O83" s="282"/>
      <c r="P83" s="283"/>
      <c r="Q83" s="22"/>
    </row>
    <row r="84" spans="1:17" s="23" customFormat="1" ht="17.5" customHeight="1" x14ac:dyDescent="0.35">
      <c r="B84" s="48"/>
      <c r="C84" s="170"/>
      <c r="D84" s="171"/>
      <c r="E84" s="170"/>
      <c r="F84" s="171"/>
      <c r="G84" s="281"/>
      <c r="H84" s="282"/>
      <c r="I84" s="282"/>
      <c r="J84" s="282"/>
      <c r="K84" s="282"/>
      <c r="L84" s="282"/>
      <c r="M84" s="282"/>
      <c r="N84" s="282"/>
      <c r="O84" s="282"/>
      <c r="P84" s="283"/>
      <c r="Q84" s="22"/>
    </row>
    <row r="85" spans="1:17" s="23" customFormat="1" ht="17.5" customHeight="1" x14ac:dyDescent="0.35">
      <c r="B85" s="49"/>
      <c r="C85" s="173"/>
      <c r="D85" s="174"/>
      <c r="E85" s="173"/>
      <c r="F85" s="174"/>
      <c r="G85" s="284"/>
      <c r="H85" s="285"/>
      <c r="I85" s="285"/>
      <c r="J85" s="285"/>
      <c r="K85" s="285"/>
      <c r="L85" s="285"/>
      <c r="M85" s="285"/>
      <c r="N85" s="285"/>
      <c r="O85" s="285"/>
      <c r="P85" s="286"/>
      <c r="Q85" s="22"/>
    </row>
    <row r="86" spans="1:17" ht="22.75" customHeight="1" x14ac:dyDescent="0.3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</row>
    <row r="87" spans="1:17" ht="22.75" customHeight="1" x14ac:dyDescent="0.3">
      <c r="A87" s="2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0"/>
  <sheetViews>
    <sheetView showGridLines="0" topLeftCell="A13" zoomScale="40" zoomScaleNormal="40" workbookViewId="0">
      <selection activeCell="E79" sqref="E79"/>
    </sheetView>
  </sheetViews>
  <sheetFormatPr defaultColWidth="6.69140625" defaultRowHeight="14" x14ac:dyDescent="0.3"/>
  <cols>
    <col min="1" max="1" width="5.53515625" style="1" customWidth="1"/>
    <col min="2" max="2" width="24.84375" style="1" customWidth="1"/>
    <col min="3" max="3" width="43" style="1" customWidth="1"/>
    <col min="4" max="4" width="7.4609375" style="14" customWidth="1"/>
    <col min="5" max="5" width="39.765625" style="1" customWidth="1"/>
    <col min="6" max="6" width="7.4609375" style="14" customWidth="1"/>
    <col min="7" max="7" width="34.23046875" style="1" customWidth="1"/>
    <col min="8" max="8" width="7.4609375" style="14" customWidth="1"/>
    <col min="9" max="9" width="39.15234375" style="1" customWidth="1"/>
    <col min="10" max="10" width="7.4609375" style="14" customWidth="1"/>
    <col min="11" max="11" width="39.61328125" style="1" customWidth="1"/>
    <col min="12" max="12" width="7.4609375" style="14" customWidth="1"/>
    <col min="13" max="13" width="38.843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258"/>
      <c r="C4" s="258"/>
      <c r="R4" s="46"/>
      <c r="S4" s="46"/>
      <c r="BB4" s="9"/>
      <c r="BC4" s="9"/>
      <c r="BD4" s="9"/>
      <c r="BK4" s="246"/>
      <c r="BL4" s="246"/>
      <c r="BM4" s="246"/>
      <c r="BN4" s="246"/>
      <c r="CG4" s="11"/>
      <c r="CH4" s="13"/>
      <c r="CI4" s="11"/>
    </row>
    <row r="5" spans="1:88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246"/>
      <c r="BL5" s="246"/>
      <c r="BM5" s="246"/>
      <c r="BN5" s="246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59" t="s">
        <v>18</v>
      </c>
      <c r="H6" s="259"/>
      <c r="I6" s="59" t="str">
        <f>UPPER(TEXT(DATE(CalendarYear,1,1)," yyyy"))</f>
        <v xml:space="preserve"> 2022</v>
      </c>
      <c r="J6" s="16"/>
      <c r="K6" s="7" t="s">
        <v>171</v>
      </c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247"/>
      <c r="CC6" s="247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 t="str">
        <f>IF(DAY(MaySun1)=1,"",IF(AND(YEAR(MaySun1+6)=CalendarYear,MONTH(MaySun1+6)=5),MaySun1+6,""))</f>
        <v/>
      </c>
      <c r="N8" s="61" t="s">
        <v>29</v>
      </c>
      <c r="O8" s="56">
        <f>IF(DAY(MaySun1)=1,IF(AND(YEAR(MaySun1)=CalendarYear,MONTH(MaySun1)=5),MaySun1,""),IF(AND(YEAR(MaySun1+7)=CalendarYear,MONTH(MaySun1+7)=5),MaySun1+7,""))</f>
        <v>44682</v>
      </c>
      <c r="P8" s="61" t="s">
        <v>29</v>
      </c>
      <c r="Q8" s="47"/>
      <c r="T8" s="53"/>
      <c r="U8" s="54"/>
    </row>
    <row r="9" spans="1:88" s="23" customFormat="1" ht="17.5" customHeight="1" x14ac:dyDescent="0.25"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196" t="s">
        <v>32</v>
      </c>
      <c r="P9" s="26"/>
      <c r="Q9" s="22"/>
    </row>
    <row r="10" spans="1:88" s="23" customFormat="1" ht="17.5" customHeight="1" x14ac:dyDescent="0.55000000000000004">
      <c r="B10" s="155" t="s">
        <v>1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197"/>
      <c r="P10" s="29"/>
      <c r="Q10" s="22"/>
    </row>
    <row r="11" spans="1:88" s="23" customFormat="1" ht="17.5" customHeight="1" x14ac:dyDescent="0.25">
      <c r="B11" s="52"/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197" t="s">
        <v>32</v>
      </c>
      <c r="P11" s="29"/>
      <c r="Q11" s="22"/>
    </row>
    <row r="12" spans="1:88" s="23" customFormat="1" ht="17.5" customHeight="1" x14ac:dyDescent="0.55000000000000004">
      <c r="B12" s="155" t="s">
        <v>3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197"/>
      <c r="P12" s="29"/>
      <c r="Q12" s="22"/>
    </row>
    <row r="13" spans="1:88" s="23" customFormat="1" ht="17.5" customHeight="1" x14ac:dyDescent="0.55000000000000004">
      <c r="B13" s="155"/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197" t="s">
        <v>32</v>
      </c>
      <c r="P13" s="29"/>
      <c r="Q13" s="22"/>
    </row>
    <row r="14" spans="1:88" s="23" customFormat="1" ht="17.5" customHeight="1" x14ac:dyDescent="0.55000000000000004">
      <c r="B14" s="155" t="s">
        <v>4</v>
      </c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197"/>
      <c r="P14" s="29"/>
      <c r="Q14" s="22"/>
    </row>
    <row r="15" spans="1:88" s="23" customFormat="1" ht="17.5" customHeight="1" x14ac:dyDescent="0.55000000000000004">
      <c r="B15" s="155"/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197" t="s">
        <v>32</v>
      </c>
      <c r="P15" s="29"/>
      <c r="Q15" s="22"/>
    </row>
    <row r="16" spans="1:88" s="23" customFormat="1" ht="17.5" customHeight="1" x14ac:dyDescent="0.55000000000000004">
      <c r="B16" s="155" t="s">
        <v>30</v>
      </c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197"/>
      <c r="P16" s="29"/>
      <c r="Q16" s="22"/>
    </row>
    <row r="17" spans="2:21" s="23" customFormat="1" ht="17.5" customHeight="1" x14ac:dyDescent="0.55000000000000004">
      <c r="B17" s="155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197" t="s">
        <v>32</v>
      </c>
      <c r="P17" s="29"/>
      <c r="Q17" s="22"/>
    </row>
    <row r="18" spans="2:21" s="23" customFormat="1" ht="17.5" customHeight="1" x14ac:dyDescent="0.55000000000000004">
      <c r="B18" s="155" t="s">
        <v>6</v>
      </c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197"/>
      <c r="P18" s="29"/>
      <c r="Q18" s="22"/>
    </row>
    <row r="19" spans="2:21" s="23" customFormat="1" ht="17.5" customHeight="1" x14ac:dyDescent="0.55000000000000004">
      <c r="B19" s="155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55000000000000004">
      <c r="B20" s="155"/>
      <c r="C20" s="31"/>
      <c r="D20" s="32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22"/>
    </row>
    <row r="21" spans="2:21" s="51" customFormat="1" ht="18" customHeight="1" x14ac:dyDescent="0.55000000000000004">
      <c r="B21" s="163"/>
      <c r="C21" s="55">
        <f>IF(DAY(MaySun1)=1,IF(AND(YEAR(MaySun1+1)=CalendarYear,MONTH(MaySun1+1)=5),MaySun1+1,""),IF(AND(YEAR(MaySun1+8)=CalendarYear,MONTH(MaySun1+8)=5),MaySun1+8,""))</f>
        <v>44683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44684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44685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44686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44687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44688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44689</v>
      </c>
      <c r="P21" s="61" t="s">
        <v>29</v>
      </c>
      <c r="Q21" s="47"/>
      <c r="T21" s="53"/>
      <c r="U21" s="54"/>
    </row>
    <row r="22" spans="2:21" s="23" customFormat="1" ht="17.5" customHeight="1" x14ac:dyDescent="0.55000000000000004">
      <c r="B22" s="155" t="s">
        <v>1</v>
      </c>
      <c r="C22" s="167" t="s">
        <v>332</v>
      </c>
      <c r="D22" s="168"/>
      <c r="E22" s="167" t="s">
        <v>332</v>
      </c>
      <c r="F22" s="168"/>
      <c r="G22" s="167" t="s">
        <v>332</v>
      </c>
      <c r="H22" s="168"/>
      <c r="I22" s="169" t="s">
        <v>124</v>
      </c>
      <c r="J22" s="168"/>
      <c r="K22" s="169" t="s">
        <v>44</v>
      </c>
      <c r="L22" s="168"/>
      <c r="M22" s="169" t="s">
        <v>338</v>
      </c>
      <c r="N22" s="168"/>
      <c r="O22" s="169" t="s">
        <v>32</v>
      </c>
      <c r="P22" s="38"/>
      <c r="Q22" s="22"/>
    </row>
    <row r="23" spans="2:21" s="23" customFormat="1" ht="17.5" customHeight="1" x14ac:dyDescent="0.55000000000000004">
      <c r="B23" s="155"/>
      <c r="C23" s="170"/>
      <c r="D23" s="171"/>
      <c r="E23" s="170"/>
      <c r="F23" s="171"/>
      <c r="G23" s="170"/>
      <c r="H23" s="171"/>
      <c r="I23" s="172"/>
      <c r="J23" s="171"/>
      <c r="K23" s="172"/>
      <c r="L23" s="171"/>
      <c r="M23" s="172"/>
      <c r="N23" s="171"/>
      <c r="O23" s="172"/>
      <c r="P23" s="38"/>
      <c r="Q23" s="22"/>
    </row>
    <row r="24" spans="2:21" s="23" customFormat="1" ht="17.5" customHeight="1" x14ac:dyDescent="0.55000000000000004">
      <c r="B24" s="155" t="s">
        <v>3</v>
      </c>
      <c r="C24" s="170" t="s">
        <v>332</v>
      </c>
      <c r="D24" s="171"/>
      <c r="E24" s="170" t="s">
        <v>332</v>
      </c>
      <c r="F24" s="171"/>
      <c r="G24" s="170" t="s">
        <v>332</v>
      </c>
      <c r="H24" s="171"/>
      <c r="I24" s="172" t="s">
        <v>333</v>
      </c>
      <c r="J24" s="171"/>
      <c r="K24" s="172" t="s">
        <v>156</v>
      </c>
      <c r="L24" s="171"/>
      <c r="M24" s="172" t="s">
        <v>315</v>
      </c>
      <c r="N24" s="171"/>
      <c r="O24" s="172" t="s">
        <v>32</v>
      </c>
      <c r="P24" s="38"/>
      <c r="Q24" s="22"/>
    </row>
    <row r="25" spans="2:21" s="23" customFormat="1" ht="17.5" customHeight="1" x14ac:dyDescent="0.55000000000000004">
      <c r="B25" s="155"/>
      <c r="C25" s="170"/>
      <c r="D25" s="171"/>
      <c r="E25" s="170"/>
      <c r="F25" s="171"/>
      <c r="G25" s="170"/>
      <c r="H25" s="171"/>
      <c r="I25" s="172"/>
      <c r="J25" s="171"/>
      <c r="K25" s="172"/>
      <c r="L25" s="171"/>
      <c r="M25" s="172"/>
      <c r="N25" s="171"/>
      <c r="O25" s="172"/>
      <c r="P25" s="38"/>
      <c r="Q25" s="22"/>
    </row>
    <row r="26" spans="2:21" s="23" customFormat="1" ht="17.5" customHeight="1" x14ac:dyDescent="0.55000000000000004">
      <c r="B26" s="155" t="s">
        <v>4</v>
      </c>
      <c r="C26" s="170" t="s">
        <v>332</v>
      </c>
      <c r="D26" s="171"/>
      <c r="E26" s="170" t="s">
        <v>332</v>
      </c>
      <c r="F26" s="171"/>
      <c r="G26" s="170" t="s">
        <v>332</v>
      </c>
      <c r="H26" s="171"/>
      <c r="I26" s="172" t="s">
        <v>96</v>
      </c>
      <c r="J26" s="171"/>
      <c r="K26" s="172" t="s">
        <v>329</v>
      </c>
      <c r="L26" s="171"/>
      <c r="M26" s="172" t="s">
        <v>316</v>
      </c>
      <c r="N26" s="171"/>
      <c r="O26" s="172" t="s">
        <v>32</v>
      </c>
      <c r="P26" s="38"/>
      <c r="Q26" s="22"/>
    </row>
    <row r="27" spans="2:21" s="23" customFormat="1" ht="17.5" customHeight="1" x14ac:dyDescent="0.55000000000000004">
      <c r="B27" s="155"/>
      <c r="C27" s="170"/>
      <c r="D27" s="171"/>
      <c r="E27" s="170"/>
      <c r="F27" s="171"/>
      <c r="G27" s="170"/>
      <c r="H27" s="171"/>
      <c r="I27" s="172"/>
      <c r="J27" s="171"/>
      <c r="K27" s="172"/>
      <c r="L27" s="171"/>
      <c r="M27" s="172"/>
      <c r="N27" s="171"/>
      <c r="O27" s="172"/>
      <c r="P27" s="38"/>
      <c r="Q27" s="22"/>
    </row>
    <row r="28" spans="2:21" s="23" customFormat="1" ht="17.5" customHeight="1" x14ac:dyDescent="0.55000000000000004">
      <c r="B28" s="155" t="s">
        <v>30</v>
      </c>
      <c r="C28" s="170" t="s">
        <v>332</v>
      </c>
      <c r="D28" s="171"/>
      <c r="E28" s="170" t="s">
        <v>332</v>
      </c>
      <c r="F28" s="171"/>
      <c r="G28" s="170" t="s">
        <v>332</v>
      </c>
      <c r="H28" s="171"/>
      <c r="I28" s="172" t="s">
        <v>38</v>
      </c>
      <c r="J28" s="171"/>
      <c r="K28" s="172" t="s">
        <v>57</v>
      </c>
      <c r="L28" s="171"/>
      <c r="M28" s="172" t="s">
        <v>38</v>
      </c>
      <c r="N28" s="171"/>
      <c r="O28" s="172" t="s">
        <v>32</v>
      </c>
      <c r="P28" s="38"/>
      <c r="Q28" s="22"/>
    </row>
    <row r="29" spans="2:21" s="23" customFormat="1" ht="17.5" customHeight="1" x14ac:dyDescent="0.55000000000000004">
      <c r="B29" s="155"/>
      <c r="C29" s="170"/>
      <c r="D29" s="171"/>
      <c r="E29" s="170"/>
      <c r="F29" s="171"/>
      <c r="G29" s="170"/>
      <c r="H29" s="171"/>
      <c r="I29" s="172"/>
      <c r="J29" s="171"/>
      <c r="K29" s="172"/>
      <c r="L29" s="171"/>
      <c r="M29" s="172"/>
      <c r="N29" s="171"/>
      <c r="O29" s="172"/>
      <c r="P29" s="38"/>
      <c r="Q29" s="22"/>
    </row>
    <row r="30" spans="2:21" s="23" customFormat="1" ht="17.5" customHeight="1" x14ac:dyDescent="0.55000000000000004">
      <c r="B30" s="155" t="s">
        <v>6</v>
      </c>
      <c r="C30" s="170" t="s">
        <v>332</v>
      </c>
      <c r="D30" s="171"/>
      <c r="E30" s="170" t="s">
        <v>332</v>
      </c>
      <c r="F30" s="171"/>
      <c r="G30" s="170" t="s">
        <v>332</v>
      </c>
      <c r="H30" s="171"/>
      <c r="I30" s="172" t="s">
        <v>66</v>
      </c>
      <c r="J30" s="171"/>
      <c r="K30" s="172" t="s">
        <v>234</v>
      </c>
      <c r="L30" s="171"/>
      <c r="M30" s="189" t="s">
        <v>219</v>
      </c>
      <c r="N30" s="171"/>
      <c r="O30" s="172" t="s">
        <v>32</v>
      </c>
      <c r="P30" s="38"/>
      <c r="Q30" s="22"/>
    </row>
    <row r="31" spans="2:21" s="23" customFormat="1" ht="17.5" customHeight="1" x14ac:dyDescent="0.55000000000000004">
      <c r="B31" s="155"/>
      <c r="C31" s="170"/>
      <c r="D31" s="171"/>
      <c r="E31" s="170"/>
      <c r="F31" s="171"/>
      <c r="G31" s="172"/>
      <c r="H31" s="171"/>
      <c r="I31" s="172"/>
      <c r="J31" s="171"/>
      <c r="K31" s="172"/>
      <c r="L31" s="171"/>
      <c r="M31" s="172"/>
      <c r="N31" s="171"/>
      <c r="O31" s="172"/>
      <c r="P31" s="38"/>
      <c r="Q31" s="22"/>
    </row>
    <row r="32" spans="2:21" s="23" customFormat="1" ht="17.5" customHeight="1" x14ac:dyDescent="0.55000000000000004">
      <c r="B32" s="155"/>
      <c r="C32" s="170"/>
      <c r="D32" s="171"/>
      <c r="E32" s="170"/>
      <c r="F32" s="171"/>
      <c r="G32" s="172"/>
      <c r="H32" s="171"/>
      <c r="I32" s="172"/>
      <c r="J32" s="171"/>
      <c r="K32" s="172"/>
      <c r="L32" s="171"/>
      <c r="M32" s="172"/>
      <c r="N32" s="171"/>
      <c r="O32" s="172"/>
      <c r="P32" s="41"/>
      <c r="Q32" s="22"/>
    </row>
    <row r="33" spans="2:21" s="51" customFormat="1" ht="18" customHeight="1" x14ac:dyDescent="0.55000000000000004">
      <c r="B33" s="163"/>
      <c r="C33" s="55">
        <f>IF(DAY(MaySun1)=1,IF(AND(YEAR(MaySun1+8)=CalendarYear,MONTH(MaySun1+8)=5),MaySun1+8,""),IF(AND(YEAR(MaySun1+15)=CalendarYear,MONTH(MaySun1+15)=5),MaySun1+15,""))</f>
        <v>44690</v>
      </c>
      <c r="D33" s="61" t="s">
        <v>29</v>
      </c>
      <c r="E33" s="55">
        <f>IF(DAY(MaySun1)=1,IF(AND(YEAR(MaySun1+9)=CalendarYear,MONTH(MaySun1+9)=5),MaySun1+9,""),IF(AND(YEAR(MaySun1+16)=CalendarYear,MONTH(MaySun1+16)=5),MaySun1+16,""))</f>
        <v>44691</v>
      </c>
      <c r="F33" s="61" t="s">
        <v>29</v>
      </c>
      <c r="G33" s="56">
        <f>IF(DAY(MaySun1)=1,IF(AND(YEAR(MaySun1+10)=CalendarYear,MONTH(MaySun1+10)=5),MaySun1+10,""),IF(AND(YEAR(MaySun1+17)=CalendarYear,MONTH(MaySun1+17)=5),MaySun1+17,""))</f>
        <v>44692</v>
      </c>
      <c r="H33" s="61" t="s">
        <v>29</v>
      </c>
      <c r="I33" s="56">
        <f>IF(DAY(MaySun1)=1,IF(AND(YEAR(MaySun1+11)=CalendarYear,MONTH(MaySun1+11)=5),MaySun1+11,""),IF(AND(YEAR(MaySun1+18)=CalendarYear,MONTH(MaySun1+18)=5),MaySun1+18,""))</f>
        <v>44693</v>
      </c>
      <c r="J33" s="61" t="s">
        <v>29</v>
      </c>
      <c r="K33" s="56">
        <f>IF(DAY(MaySun1)=1,IF(AND(YEAR(MaySun1+12)=CalendarYear,MONTH(MaySun1+12)=5),MaySun1+12,""),IF(AND(YEAR(MaySun1+19)=CalendarYear,MONTH(MaySun1+19)=5),MaySun1+19,""))</f>
        <v>44694</v>
      </c>
      <c r="L33" s="61" t="s">
        <v>29</v>
      </c>
      <c r="M33" s="56">
        <f>IF(DAY(MaySun1)=1,IF(AND(YEAR(MaySun1+13)=CalendarYear,MONTH(MaySun1+13)=5),MaySun1+13,""),IF(AND(YEAR(MaySun1+20)=CalendarYear,MONTH(MaySun1+20)=5),MaySun1+20,""))</f>
        <v>44695</v>
      </c>
      <c r="N33" s="61" t="s">
        <v>29</v>
      </c>
      <c r="O33" s="56">
        <f>IF(DAY(MaySun1)=1,IF(AND(YEAR(MaySun1+14)=CalendarYear,MONTH(MaySun1+14)=5),MaySun1+14,""),IF(AND(YEAR(MaySun1+21)=CalendarYear,MONTH(MaySun1+21)=5),MaySun1+21,""))</f>
        <v>44696</v>
      </c>
      <c r="P33" s="61" t="s">
        <v>29</v>
      </c>
      <c r="Q33" s="47"/>
      <c r="T33" s="53"/>
      <c r="U33" s="54"/>
    </row>
    <row r="34" spans="2:21" s="23" customFormat="1" ht="17.5" customHeight="1" x14ac:dyDescent="0.55000000000000004">
      <c r="B34" s="155" t="s">
        <v>1</v>
      </c>
      <c r="C34" s="156" t="s">
        <v>222</v>
      </c>
      <c r="D34" s="157"/>
      <c r="E34" s="156" t="s">
        <v>44</v>
      </c>
      <c r="F34" s="157"/>
      <c r="G34" s="158" t="s">
        <v>308</v>
      </c>
      <c r="H34" s="157"/>
      <c r="I34" s="158" t="s">
        <v>45</v>
      </c>
      <c r="J34" s="157"/>
      <c r="K34" s="158" t="s">
        <v>42</v>
      </c>
      <c r="L34" s="157"/>
      <c r="M34" s="158" t="s">
        <v>105</v>
      </c>
      <c r="N34" s="157"/>
      <c r="O34" s="158" t="s">
        <v>32</v>
      </c>
      <c r="P34" s="29"/>
      <c r="Q34" s="22"/>
    </row>
    <row r="35" spans="2:21" s="23" customFormat="1" ht="17.5" customHeight="1" x14ac:dyDescent="0.55000000000000004">
      <c r="B35" s="155"/>
      <c r="C35" s="160"/>
      <c r="D35" s="161"/>
      <c r="E35" s="160"/>
      <c r="F35" s="161"/>
      <c r="G35" s="162"/>
      <c r="H35" s="161"/>
      <c r="I35" s="162"/>
      <c r="J35" s="161"/>
      <c r="K35" s="162"/>
      <c r="L35" s="161"/>
      <c r="M35" s="162"/>
      <c r="N35" s="161"/>
      <c r="O35" s="162"/>
      <c r="P35" s="29"/>
      <c r="Q35" s="22"/>
    </row>
    <row r="36" spans="2:21" s="23" customFormat="1" ht="17.5" customHeight="1" x14ac:dyDescent="0.55000000000000004">
      <c r="B36" s="155" t="s">
        <v>3</v>
      </c>
      <c r="C36" s="160" t="s">
        <v>334</v>
      </c>
      <c r="D36" s="161"/>
      <c r="E36" s="160" t="s">
        <v>46</v>
      </c>
      <c r="F36" s="161"/>
      <c r="G36" s="162" t="s">
        <v>335</v>
      </c>
      <c r="H36" s="161"/>
      <c r="I36" s="162" t="s">
        <v>290</v>
      </c>
      <c r="J36" s="161"/>
      <c r="K36" s="162" t="s">
        <v>337</v>
      </c>
      <c r="L36" s="161"/>
      <c r="M36" s="162" t="s">
        <v>339</v>
      </c>
      <c r="N36" s="161"/>
      <c r="O36" s="162" t="s">
        <v>32</v>
      </c>
      <c r="P36" s="29"/>
      <c r="Q36" s="22"/>
    </row>
    <row r="37" spans="2:21" s="23" customFormat="1" ht="17.5" customHeight="1" x14ac:dyDescent="0.55000000000000004">
      <c r="B37" s="155"/>
      <c r="C37" s="160"/>
      <c r="D37" s="161"/>
      <c r="E37" s="160"/>
      <c r="F37" s="161"/>
      <c r="G37" s="162"/>
      <c r="H37" s="161"/>
      <c r="I37" s="162"/>
      <c r="J37" s="161"/>
      <c r="K37" s="162"/>
      <c r="L37" s="161"/>
      <c r="M37" s="162"/>
      <c r="N37" s="161"/>
      <c r="O37" s="162"/>
      <c r="P37" s="29"/>
      <c r="Q37" s="22"/>
    </row>
    <row r="38" spans="2:21" s="23" customFormat="1" ht="17.5" customHeight="1" x14ac:dyDescent="0.55000000000000004">
      <c r="B38" s="155" t="s">
        <v>4</v>
      </c>
      <c r="C38" s="160" t="s">
        <v>56</v>
      </c>
      <c r="D38" s="161"/>
      <c r="E38" s="160" t="s">
        <v>96</v>
      </c>
      <c r="F38" s="161"/>
      <c r="G38" s="162" t="s">
        <v>97</v>
      </c>
      <c r="H38" s="161"/>
      <c r="I38" s="162" t="s">
        <v>336</v>
      </c>
      <c r="J38" s="161"/>
      <c r="K38" s="162" t="s">
        <v>297</v>
      </c>
      <c r="L38" s="161"/>
      <c r="M38" s="162" t="s">
        <v>340</v>
      </c>
      <c r="N38" s="161"/>
      <c r="O38" s="162" t="s">
        <v>32</v>
      </c>
      <c r="P38" s="29"/>
      <c r="Q38" s="22"/>
    </row>
    <row r="39" spans="2:21" s="23" customFormat="1" ht="17.5" customHeight="1" x14ac:dyDescent="0.55000000000000004">
      <c r="B39" s="155"/>
      <c r="C39" s="160"/>
      <c r="D39" s="161"/>
      <c r="E39" s="160"/>
      <c r="F39" s="161"/>
      <c r="G39" s="162"/>
      <c r="H39" s="161"/>
      <c r="I39" s="162"/>
      <c r="J39" s="161"/>
      <c r="K39" s="162"/>
      <c r="L39" s="161"/>
      <c r="M39" s="162"/>
      <c r="N39" s="161"/>
      <c r="O39" s="162"/>
      <c r="P39" s="29"/>
      <c r="Q39" s="22"/>
    </row>
    <row r="40" spans="2:21" s="23" customFormat="1" ht="17.5" customHeight="1" x14ac:dyDescent="0.55000000000000004">
      <c r="B40" s="155" t="s">
        <v>30</v>
      </c>
      <c r="C40" s="160" t="s">
        <v>40</v>
      </c>
      <c r="D40" s="161"/>
      <c r="E40" s="160" t="s">
        <v>38</v>
      </c>
      <c r="F40" s="161"/>
      <c r="G40" s="162" t="s">
        <v>85</v>
      </c>
      <c r="H40" s="161"/>
      <c r="I40" s="162" t="s">
        <v>57</v>
      </c>
      <c r="J40" s="161"/>
      <c r="K40" s="162" t="s">
        <v>38</v>
      </c>
      <c r="L40" s="161"/>
      <c r="M40" s="162" t="s">
        <v>85</v>
      </c>
      <c r="N40" s="161"/>
      <c r="O40" s="162" t="s">
        <v>32</v>
      </c>
      <c r="P40" s="29"/>
      <c r="Q40" s="22"/>
    </row>
    <row r="41" spans="2:21" s="23" customFormat="1" ht="17.5" customHeight="1" x14ac:dyDescent="0.55000000000000004">
      <c r="B41" s="155"/>
      <c r="C41" s="160"/>
      <c r="D41" s="161"/>
      <c r="E41" s="160"/>
      <c r="F41" s="161"/>
      <c r="G41" s="162"/>
      <c r="H41" s="161"/>
      <c r="I41" s="162"/>
      <c r="J41" s="161"/>
      <c r="K41" s="162"/>
      <c r="L41" s="161"/>
      <c r="M41" s="162"/>
      <c r="N41" s="161"/>
      <c r="O41" s="162"/>
      <c r="P41" s="29"/>
      <c r="Q41" s="22"/>
    </row>
    <row r="42" spans="2:21" s="23" customFormat="1" ht="17.5" customHeight="1" x14ac:dyDescent="0.55000000000000004">
      <c r="B42" s="155" t="s">
        <v>6</v>
      </c>
      <c r="C42" s="160" t="s">
        <v>84</v>
      </c>
      <c r="D42" s="161"/>
      <c r="E42" s="160" t="s">
        <v>121</v>
      </c>
      <c r="F42" s="161"/>
      <c r="G42" s="162" t="s">
        <v>122</v>
      </c>
      <c r="H42" s="161"/>
      <c r="I42" s="162" t="s">
        <v>234</v>
      </c>
      <c r="J42" s="161"/>
      <c r="K42" s="162" t="s">
        <v>83</v>
      </c>
      <c r="L42" s="161"/>
      <c r="M42" s="162" t="s">
        <v>188</v>
      </c>
      <c r="N42" s="161"/>
      <c r="O42" s="162" t="s">
        <v>32</v>
      </c>
      <c r="P42" s="29"/>
      <c r="Q42" s="22"/>
    </row>
    <row r="43" spans="2:21" s="23" customFormat="1" ht="17.5" customHeight="1" x14ac:dyDescent="0.55000000000000004">
      <c r="B43" s="155"/>
      <c r="C43" s="160"/>
      <c r="D43" s="161"/>
      <c r="E43" s="160"/>
      <c r="F43" s="161"/>
      <c r="G43" s="162"/>
      <c r="H43" s="161"/>
      <c r="I43" s="162"/>
      <c r="J43" s="161"/>
      <c r="K43" s="162"/>
      <c r="L43" s="161"/>
      <c r="M43" s="162"/>
      <c r="N43" s="161"/>
      <c r="O43" s="162"/>
      <c r="P43" s="29"/>
      <c r="Q43" s="22"/>
    </row>
    <row r="44" spans="2:21" s="23" customFormat="1" ht="17.5" customHeight="1" x14ac:dyDescent="0.55000000000000004">
      <c r="B44" s="155"/>
      <c r="C44" s="31"/>
      <c r="D44" s="32"/>
      <c r="E44" s="31"/>
      <c r="F44" s="32"/>
      <c r="G44" s="33"/>
      <c r="H44" s="32"/>
      <c r="I44" s="33"/>
      <c r="J44" s="32"/>
      <c r="K44" s="33"/>
      <c r="L44" s="32"/>
      <c r="M44" s="33"/>
      <c r="N44" s="32"/>
      <c r="O44" s="33"/>
      <c r="P44" s="32"/>
      <c r="Q44" s="22"/>
    </row>
    <row r="45" spans="2:21" s="51" customFormat="1" ht="18" customHeight="1" x14ac:dyDescent="0.55000000000000004">
      <c r="B45" s="163"/>
      <c r="C45" s="55">
        <f>IF(DAY(MaySun1)=1,IF(AND(YEAR(MaySun1+15)=CalendarYear,MONTH(MaySun1+15)=5),MaySun1+15,""),IF(AND(YEAR(MaySun1+22)=CalendarYear,MONTH(MaySun1+22)=5),MaySun1+22,""))</f>
        <v>44697</v>
      </c>
      <c r="D45" s="61" t="s">
        <v>29</v>
      </c>
      <c r="E45" s="55">
        <f>IF(DAY(MaySun1)=1,IF(AND(YEAR(MaySun1+16)=CalendarYear,MONTH(MaySun1+16)=5),MaySun1+16,""),IF(AND(YEAR(MaySun1+23)=CalendarYear,MONTH(MaySun1+23)=5),MaySun1+23,""))</f>
        <v>44698</v>
      </c>
      <c r="F45" s="61" t="s">
        <v>29</v>
      </c>
      <c r="G45" s="56">
        <f>IF(DAY(MaySun1)=1,IF(AND(YEAR(MaySun1+17)=CalendarYear,MONTH(MaySun1+17)=5),MaySun1+17,""),IF(AND(YEAR(MaySun1+24)=CalendarYear,MONTH(MaySun1+24)=5),MaySun1+24,""))</f>
        <v>44699</v>
      </c>
      <c r="H45" s="61" t="s">
        <v>29</v>
      </c>
      <c r="I45" s="56">
        <f>IF(DAY(MaySun1)=1,IF(AND(YEAR(MaySun1+18)=CalendarYear,MONTH(MaySun1+18)=5),MaySun1+18,""),IF(AND(YEAR(MaySun1+25)=CalendarYear,MONTH(MaySun1+25)=5),MaySun1+25,""))</f>
        <v>44700</v>
      </c>
      <c r="J45" s="61" t="s">
        <v>29</v>
      </c>
      <c r="K45" s="56">
        <f>IF(DAY(MaySun1)=1,IF(AND(YEAR(MaySun1+19)=CalendarYear,MONTH(MaySun1+19)=5),MaySun1+19,""),IF(AND(YEAR(MaySun1+26)=CalendarYear,MONTH(MaySun1+26)=5),MaySun1+26,""))</f>
        <v>44701</v>
      </c>
      <c r="L45" s="61" t="s">
        <v>29</v>
      </c>
      <c r="M45" s="56">
        <f>IF(DAY(MaySun1)=1,IF(AND(YEAR(MaySun1+20)=CalendarYear,MONTH(MaySun1+20)=5),MaySun1+20,""),IF(AND(YEAR(MaySun1+27)=CalendarYear,MONTH(MaySun1+27)=5),MaySun1+27,""))</f>
        <v>44702</v>
      </c>
      <c r="N45" s="61" t="s">
        <v>29</v>
      </c>
      <c r="O45" s="56">
        <f>IF(DAY(MaySun1)=1,IF(AND(YEAR(MaySun1+21)=CalendarYear,MONTH(MaySun1+21)=5),MaySun1+21,""),IF(AND(YEAR(MaySun1+28)=CalendarYear,MONTH(MaySun1+28)=5),MaySun1+28,""))</f>
        <v>44703</v>
      </c>
      <c r="P45" s="61" t="s">
        <v>29</v>
      </c>
      <c r="Q45" s="47"/>
      <c r="T45" s="53"/>
      <c r="U45" s="54"/>
    </row>
    <row r="46" spans="2:21" s="23" customFormat="1" ht="17.5" customHeight="1" x14ac:dyDescent="0.25">
      <c r="B46" s="147"/>
      <c r="C46" s="34"/>
      <c r="D46" s="35"/>
      <c r="E46" s="34"/>
      <c r="F46" s="35"/>
      <c r="G46" s="107"/>
      <c r="H46" s="35"/>
      <c r="I46" s="169"/>
      <c r="J46" s="35"/>
      <c r="K46" s="36"/>
      <c r="L46" s="35"/>
      <c r="M46" s="36"/>
      <c r="N46" s="35"/>
      <c r="O46" s="36"/>
      <c r="P46" s="35"/>
      <c r="Q46" s="22"/>
    </row>
    <row r="47" spans="2:21" s="23" customFormat="1" ht="17.5" customHeight="1" x14ac:dyDescent="0.55000000000000004">
      <c r="B47" s="155" t="s">
        <v>1</v>
      </c>
      <c r="C47" s="170" t="s">
        <v>31</v>
      </c>
      <c r="D47" s="38"/>
      <c r="E47" s="170" t="s">
        <v>105</v>
      </c>
      <c r="F47" s="38"/>
      <c r="G47" s="172" t="s">
        <v>44</v>
      </c>
      <c r="H47" s="38"/>
      <c r="I47" s="172" t="s">
        <v>343</v>
      </c>
      <c r="J47" s="38"/>
      <c r="K47" s="172" t="s">
        <v>308</v>
      </c>
      <c r="L47" s="38"/>
      <c r="M47" s="172" t="s">
        <v>42</v>
      </c>
      <c r="N47" s="72"/>
      <c r="O47" s="172" t="s">
        <v>32</v>
      </c>
      <c r="P47" s="38"/>
      <c r="Q47" s="22"/>
    </row>
    <row r="48" spans="2:21" s="23" customFormat="1" ht="17.5" customHeight="1" x14ac:dyDescent="0.55000000000000004">
      <c r="B48" s="155"/>
      <c r="C48" s="170"/>
      <c r="D48" s="38"/>
      <c r="E48" s="170"/>
      <c r="F48" s="38"/>
      <c r="G48" s="172"/>
      <c r="H48" s="38"/>
      <c r="I48" s="172"/>
      <c r="J48" s="38"/>
      <c r="K48" s="172"/>
      <c r="L48" s="38"/>
      <c r="M48" s="172"/>
      <c r="N48" s="72"/>
      <c r="O48" s="172"/>
      <c r="P48" s="38"/>
      <c r="Q48" s="22"/>
    </row>
    <row r="49" spans="2:21" s="23" customFormat="1" ht="17.5" customHeight="1" x14ac:dyDescent="0.55000000000000004">
      <c r="B49" s="155" t="s">
        <v>3</v>
      </c>
      <c r="C49" s="170" t="s">
        <v>341</v>
      </c>
      <c r="D49" s="38"/>
      <c r="E49" s="170" t="s">
        <v>285</v>
      </c>
      <c r="F49" s="38"/>
      <c r="G49" s="172" t="s">
        <v>162</v>
      </c>
      <c r="H49" s="38"/>
      <c r="I49" s="172" t="s">
        <v>343</v>
      </c>
      <c r="J49" s="38"/>
      <c r="K49" s="172" t="s">
        <v>285</v>
      </c>
      <c r="L49" s="38"/>
      <c r="M49" s="172" t="s">
        <v>167</v>
      </c>
      <c r="N49" s="72"/>
      <c r="O49" s="172" t="s">
        <v>32</v>
      </c>
      <c r="P49" s="38"/>
      <c r="Q49" s="22"/>
    </row>
    <row r="50" spans="2:21" s="23" customFormat="1" ht="17.5" customHeight="1" x14ac:dyDescent="0.55000000000000004">
      <c r="B50" s="155"/>
      <c r="C50" s="170"/>
      <c r="D50" s="38"/>
      <c r="E50" s="170"/>
      <c r="F50" s="38"/>
      <c r="G50" s="172"/>
      <c r="H50" s="38"/>
      <c r="I50" s="172"/>
      <c r="J50" s="38"/>
      <c r="K50" s="172"/>
      <c r="L50" s="38"/>
      <c r="M50" s="172"/>
      <c r="N50" s="72"/>
      <c r="O50" s="172"/>
      <c r="P50" s="38"/>
      <c r="Q50" s="22"/>
    </row>
    <row r="51" spans="2:21" s="23" customFormat="1" ht="17.5" customHeight="1" x14ac:dyDescent="0.55000000000000004">
      <c r="B51" s="155" t="s">
        <v>4</v>
      </c>
      <c r="C51" s="170" t="s">
        <v>75</v>
      </c>
      <c r="D51" s="38"/>
      <c r="E51" s="170" t="s">
        <v>56</v>
      </c>
      <c r="F51" s="38"/>
      <c r="G51" s="172" t="s">
        <v>160</v>
      </c>
      <c r="H51" s="38"/>
      <c r="I51" s="172" t="s">
        <v>343</v>
      </c>
      <c r="J51" s="38"/>
      <c r="K51" s="172" t="s">
        <v>56</v>
      </c>
      <c r="L51" s="38"/>
      <c r="M51" s="172" t="s">
        <v>168</v>
      </c>
      <c r="N51" s="72"/>
      <c r="O51" s="172" t="s">
        <v>32</v>
      </c>
      <c r="P51" s="38"/>
      <c r="Q51" s="22"/>
    </row>
    <row r="52" spans="2:21" s="23" customFormat="1" ht="17.5" customHeight="1" x14ac:dyDescent="0.55000000000000004">
      <c r="B52" s="155"/>
      <c r="C52" s="170"/>
      <c r="D52" s="38"/>
      <c r="E52" s="170"/>
      <c r="F52" s="38"/>
      <c r="G52" s="172"/>
      <c r="H52" s="38"/>
      <c r="I52" s="172"/>
      <c r="J52" s="38"/>
      <c r="K52" s="172"/>
      <c r="L52" s="38"/>
      <c r="M52" s="172"/>
      <c r="N52" s="72"/>
      <c r="O52" s="172"/>
      <c r="P52" s="38"/>
      <c r="Q52" s="22"/>
    </row>
    <row r="53" spans="2:21" s="23" customFormat="1" ht="17.5" customHeight="1" x14ac:dyDescent="0.55000000000000004">
      <c r="B53" s="155" t="s">
        <v>30</v>
      </c>
      <c r="C53" s="170" t="s">
        <v>57</v>
      </c>
      <c r="D53" s="38"/>
      <c r="E53" s="170" t="s">
        <v>289</v>
      </c>
      <c r="F53" s="38"/>
      <c r="G53" s="172" t="s">
        <v>38</v>
      </c>
      <c r="H53" s="38"/>
      <c r="I53" s="172" t="s">
        <v>343</v>
      </c>
      <c r="J53" s="38"/>
      <c r="K53" s="172" t="s">
        <v>148</v>
      </c>
      <c r="L53" s="38"/>
      <c r="M53" s="172" t="s">
        <v>85</v>
      </c>
      <c r="N53" s="72"/>
      <c r="O53" s="172" t="s">
        <v>32</v>
      </c>
      <c r="P53" s="38"/>
      <c r="Q53" s="22"/>
    </row>
    <row r="54" spans="2:21" s="23" customFormat="1" ht="17.5" customHeight="1" x14ac:dyDescent="0.55000000000000004">
      <c r="B54" s="155"/>
      <c r="C54" s="170"/>
      <c r="D54" s="38"/>
      <c r="E54" s="154"/>
      <c r="F54" s="38"/>
      <c r="G54" s="172"/>
      <c r="H54" s="38"/>
      <c r="I54" s="172"/>
      <c r="J54" s="38"/>
      <c r="K54" s="172"/>
      <c r="L54" s="38"/>
      <c r="M54" s="172"/>
      <c r="N54" s="72"/>
      <c r="O54" s="172"/>
      <c r="P54" s="38"/>
      <c r="Q54" s="22"/>
    </row>
    <row r="55" spans="2:21" s="23" customFormat="1" ht="17.5" customHeight="1" x14ac:dyDescent="0.55000000000000004">
      <c r="B55" s="155" t="s">
        <v>6</v>
      </c>
      <c r="C55" s="170" t="s">
        <v>188</v>
      </c>
      <c r="D55" s="38"/>
      <c r="E55" s="198" t="s">
        <v>66</v>
      </c>
      <c r="F55" s="38"/>
      <c r="G55" s="172" t="s">
        <v>122</v>
      </c>
      <c r="H55" s="38"/>
      <c r="I55" s="172" t="s">
        <v>343</v>
      </c>
      <c r="J55" s="38"/>
      <c r="K55" s="172" t="s">
        <v>121</v>
      </c>
      <c r="L55" s="38"/>
      <c r="M55" s="172" t="s">
        <v>219</v>
      </c>
      <c r="N55" s="72"/>
      <c r="O55" s="172" t="s">
        <v>32</v>
      </c>
      <c r="P55" s="38"/>
      <c r="Q55" s="22"/>
    </row>
    <row r="56" spans="2:21" s="23" customFormat="1" ht="17.5" customHeight="1" x14ac:dyDescent="0.55000000000000004">
      <c r="B56" s="155"/>
      <c r="C56" s="170"/>
      <c r="D56" s="38"/>
      <c r="E56" s="37"/>
      <c r="F56" s="38"/>
      <c r="G56" s="110"/>
      <c r="H56" s="38"/>
      <c r="I56" s="39"/>
      <c r="J56" s="38"/>
      <c r="K56" s="39"/>
      <c r="L56" s="38"/>
      <c r="M56" s="172"/>
      <c r="N56" s="72"/>
      <c r="O56" s="172"/>
      <c r="P56" s="38"/>
      <c r="Q56" s="22"/>
    </row>
    <row r="57" spans="2:21" s="23" customFormat="1" ht="17.5" customHeight="1" x14ac:dyDescent="0.55000000000000004">
      <c r="B57" s="155"/>
      <c r="C57" s="40"/>
      <c r="D57" s="41"/>
      <c r="E57" s="40"/>
      <c r="F57" s="41"/>
      <c r="G57" s="42"/>
      <c r="H57" s="41"/>
      <c r="I57" s="42"/>
      <c r="J57" s="41"/>
      <c r="K57" s="42"/>
      <c r="L57" s="41"/>
      <c r="M57" s="42"/>
      <c r="N57" s="41"/>
      <c r="O57" s="175"/>
      <c r="P57" s="41"/>
      <c r="Q57" s="22"/>
    </row>
    <row r="58" spans="2:21" s="51" customFormat="1" ht="18" customHeight="1" x14ac:dyDescent="0.55000000000000004">
      <c r="B58" s="163"/>
      <c r="C58" s="55">
        <f>IF(DAY(MaySun1)=1,IF(AND(YEAR(MaySun1+22)=CalendarYear,MONTH(MaySun1+22)=5),MaySun1+22,""),IF(AND(YEAR(MaySun1+29)=CalendarYear,MONTH(MaySun1+29)=5),MaySun1+29,""))</f>
        <v>44704</v>
      </c>
      <c r="D58" s="61" t="s">
        <v>29</v>
      </c>
      <c r="E58" s="55" t="s">
        <v>349</v>
      </c>
      <c r="F58" s="61" t="s">
        <v>29</v>
      </c>
      <c r="G58" s="56">
        <f>IF(DAY(MaySun1)=1,IF(AND(YEAR(MaySun1+24)=CalendarYear,MONTH(MaySun1+24)=5),MaySun1+24,""),IF(AND(YEAR(MaySun1+31)=CalendarYear,MONTH(MaySun1+31)=5),MaySun1+31,""))</f>
        <v>44706</v>
      </c>
      <c r="H58" s="61" t="s">
        <v>29</v>
      </c>
      <c r="I58" s="56">
        <f>IF(DAY(MaySun1)=1,IF(AND(YEAR(MaySun1+25)=CalendarYear,MONTH(MaySun1+25)=5),MaySun1+25,""),IF(AND(YEAR(MaySun1+32)=CalendarYear,MONTH(MaySun1+32)=5),MaySun1+32,""))</f>
        <v>44707</v>
      </c>
      <c r="J58" s="61" t="s">
        <v>29</v>
      </c>
      <c r="K58" s="56">
        <f>IF(DAY(MaySun1)=1,IF(AND(YEAR(MaySun1+26)=CalendarYear,MONTH(MaySun1+26)=5),MaySun1+26,""),IF(AND(YEAR(MaySun1+33)=CalendarYear,MONTH(MaySun1+33)=5),MaySun1+33,""))</f>
        <v>44708</v>
      </c>
      <c r="L58" s="61" t="s">
        <v>29</v>
      </c>
      <c r="M58" s="56">
        <f>IF(DAY(MaySun1)=1,IF(AND(YEAR(MaySun1+27)=CalendarYear,MONTH(MaySun1+27)=5),MaySun1+27,""),IF(AND(YEAR(MaySun1+34)=CalendarYear,MONTH(MaySun1+34)=5),MaySun1+34,""))</f>
        <v>44709</v>
      </c>
      <c r="N58" s="61" t="s">
        <v>29</v>
      </c>
      <c r="O58" s="150">
        <f>IF(DAY(MaySun1)=1,IF(AND(YEAR(MaySun1+28)=CalendarYear,MONTH(MaySun1+28)=5),MaySun1+28,""),IF(AND(YEAR(MaySun1+35)=CalendarYear,MONTH(MaySun1+35)=5),MaySun1+35,""))</f>
        <v>44710</v>
      </c>
      <c r="P58" s="61" t="s">
        <v>29</v>
      </c>
      <c r="Q58" s="47"/>
      <c r="T58" s="53"/>
      <c r="U58" s="54"/>
    </row>
    <row r="59" spans="2:21" s="23" customFormat="1" ht="17.5" customHeight="1" x14ac:dyDescent="0.25">
      <c r="B59" s="147"/>
      <c r="C59" s="25"/>
      <c r="D59" s="26"/>
      <c r="E59" s="25"/>
      <c r="F59" s="26"/>
      <c r="G59" s="27"/>
      <c r="H59" s="26"/>
      <c r="I59" s="27"/>
      <c r="J59" s="26"/>
      <c r="K59" s="27"/>
      <c r="L59" s="26"/>
      <c r="M59" s="27"/>
      <c r="N59" s="26"/>
      <c r="O59" s="158"/>
      <c r="P59" s="26"/>
      <c r="Q59" s="22"/>
    </row>
    <row r="60" spans="2:21" s="23" customFormat="1" ht="17.5" customHeight="1" x14ac:dyDescent="0.55000000000000004">
      <c r="B60" s="155" t="s">
        <v>1</v>
      </c>
      <c r="C60" s="162" t="s">
        <v>31</v>
      </c>
      <c r="D60" s="29"/>
      <c r="E60" s="160" t="s">
        <v>308</v>
      </c>
      <c r="F60" s="29"/>
      <c r="G60" s="162" t="s">
        <v>44</v>
      </c>
      <c r="H60" s="29"/>
      <c r="I60" s="162" t="s">
        <v>190</v>
      </c>
      <c r="J60" s="29"/>
      <c r="K60" s="162" t="s">
        <v>45</v>
      </c>
      <c r="L60" s="29"/>
      <c r="M60" s="162" t="s">
        <v>89</v>
      </c>
      <c r="N60" s="29"/>
      <c r="O60" s="162" t="s">
        <v>32</v>
      </c>
      <c r="P60" s="29"/>
      <c r="Q60" s="22"/>
    </row>
    <row r="61" spans="2:21" s="23" customFormat="1" ht="17.5" customHeight="1" x14ac:dyDescent="0.55000000000000004">
      <c r="B61" s="155"/>
      <c r="C61" s="162"/>
      <c r="D61" s="29"/>
      <c r="E61" s="28"/>
      <c r="F61" s="29"/>
      <c r="G61" s="162"/>
      <c r="H61" s="29"/>
      <c r="I61" s="162"/>
      <c r="J61" s="29"/>
      <c r="K61" s="162"/>
      <c r="L61" s="29"/>
      <c r="M61" s="162"/>
      <c r="N61" s="29"/>
      <c r="O61" s="162"/>
      <c r="P61" s="29"/>
      <c r="Q61" s="22"/>
    </row>
    <row r="62" spans="2:21" s="23" customFormat="1" ht="17.5" customHeight="1" x14ac:dyDescent="0.55000000000000004">
      <c r="B62" s="155" t="s">
        <v>3</v>
      </c>
      <c r="C62" s="162" t="s">
        <v>106</v>
      </c>
      <c r="D62" s="29"/>
      <c r="E62" s="160" t="s">
        <v>346</v>
      </c>
      <c r="F62" s="29"/>
      <c r="G62" s="162" t="s">
        <v>342</v>
      </c>
      <c r="H62" s="29"/>
      <c r="I62" s="162" t="s">
        <v>352</v>
      </c>
      <c r="J62" s="29"/>
      <c r="K62" s="162" t="s">
        <v>108</v>
      </c>
      <c r="L62" s="29"/>
      <c r="M62" s="162" t="s">
        <v>315</v>
      </c>
      <c r="N62" s="29"/>
      <c r="O62" s="162" t="s">
        <v>32</v>
      </c>
      <c r="P62" s="29"/>
      <c r="Q62" s="22"/>
    </row>
    <row r="63" spans="2:21" s="23" customFormat="1" ht="17.5" customHeight="1" x14ac:dyDescent="0.55000000000000004">
      <c r="B63" s="155"/>
      <c r="C63" s="162"/>
      <c r="D63" s="29"/>
      <c r="E63" s="28"/>
      <c r="F63" s="29"/>
      <c r="G63" s="162"/>
      <c r="H63" s="29"/>
      <c r="I63" s="162"/>
      <c r="J63" s="29"/>
      <c r="K63" s="162"/>
      <c r="L63" s="29"/>
      <c r="M63" s="162"/>
      <c r="N63" s="29"/>
      <c r="O63" s="162"/>
      <c r="P63" s="29"/>
      <c r="Q63" s="22"/>
    </row>
    <row r="64" spans="2:21" s="23" customFormat="1" ht="17.5" customHeight="1" x14ac:dyDescent="0.55000000000000004">
      <c r="B64" s="155" t="s">
        <v>4</v>
      </c>
      <c r="C64" s="162" t="s">
        <v>353</v>
      </c>
      <c r="D64" s="29"/>
      <c r="E64" s="160" t="s">
        <v>56</v>
      </c>
      <c r="F64" s="29"/>
      <c r="G64" s="162" t="s">
        <v>348</v>
      </c>
      <c r="H64" s="29"/>
      <c r="I64" s="162" t="s">
        <v>309</v>
      </c>
      <c r="J64" s="29"/>
      <c r="K64" s="162" t="s">
        <v>201</v>
      </c>
      <c r="L64" s="29"/>
      <c r="M64" s="162" t="s">
        <v>316</v>
      </c>
      <c r="N64" s="29"/>
      <c r="O64" s="162" t="s">
        <v>32</v>
      </c>
      <c r="P64" s="29"/>
      <c r="Q64" s="22"/>
    </row>
    <row r="65" spans="1:21" s="23" customFormat="1" ht="17.5" customHeight="1" x14ac:dyDescent="0.55000000000000004">
      <c r="B65" s="155"/>
      <c r="C65" s="162"/>
      <c r="D65" s="29"/>
      <c r="E65" s="28"/>
      <c r="F65" s="29"/>
      <c r="G65" s="162"/>
      <c r="H65" s="29"/>
      <c r="I65" s="162"/>
      <c r="J65" s="29"/>
      <c r="K65" s="162"/>
      <c r="L65" s="29"/>
      <c r="M65" s="162"/>
      <c r="N65" s="29"/>
      <c r="O65" s="162"/>
      <c r="P65" s="29"/>
      <c r="Q65" s="22"/>
    </row>
    <row r="66" spans="1:21" s="23" customFormat="1" ht="17.5" customHeight="1" x14ac:dyDescent="0.55000000000000004">
      <c r="B66" s="155" t="s">
        <v>30</v>
      </c>
      <c r="C66" s="162" t="s">
        <v>39</v>
      </c>
      <c r="D66" s="29"/>
      <c r="E66" s="160" t="s">
        <v>347</v>
      </c>
      <c r="F66" s="29"/>
      <c r="G66" s="162" t="s">
        <v>289</v>
      </c>
      <c r="H66" s="29"/>
      <c r="I66" s="162" t="s">
        <v>38</v>
      </c>
      <c r="J66" s="29"/>
      <c r="K66" s="162" t="s">
        <v>85</v>
      </c>
      <c r="L66" s="29"/>
      <c r="M66" s="162" t="s">
        <v>38</v>
      </c>
      <c r="N66" s="29"/>
      <c r="O66" s="162" t="s">
        <v>32</v>
      </c>
      <c r="P66" s="29"/>
      <c r="Q66" s="22"/>
    </row>
    <row r="67" spans="1:21" s="23" customFormat="1" ht="17.5" customHeight="1" x14ac:dyDescent="0.55000000000000004">
      <c r="B67" s="155"/>
      <c r="C67" s="162"/>
      <c r="D67" s="29"/>
      <c r="E67" s="28"/>
      <c r="F67" s="29"/>
      <c r="G67" s="162"/>
      <c r="H67" s="29"/>
      <c r="I67" s="162"/>
      <c r="J67" s="29"/>
      <c r="K67" s="162"/>
      <c r="L67" s="29"/>
      <c r="M67" s="162"/>
      <c r="N67" s="29"/>
      <c r="O67" s="162"/>
      <c r="P67" s="29"/>
      <c r="Q67" s="22"/>
    </row>
    <row r="68" spans="1:21" s="23" customFormat="1" ht="17.5" customHeight="1" x14ac:dyDescent="0.55000000000000004">
      <c r="B68" s="155" t="s">
        <v>6</v>
      </c>
      <c r="C68" s="162" t="s">
        <v>121</v>
      </c>
      <c r="D68" s="29"/>
      <c r="E68" s="160" t="s">
        <v>122</v>
      </c>
      <c r="F68" s="29"/>
      <c r="G68" s="162" t="s">
        <v>119</v>
      </c>
      <c r="H68" s="29"/>
      <c r="I68" s="162" t="s">
        <v>66</v>
      </c>
      <c r="J68" s="29"/>
      <c r="K68" s="162" t="s">
        <v>62</v>
      </c>
      <c r="L68" s="29"/>
      <c r="M68" s="162" t="s">
        <v>219</v>
      </c>
      <c r="N68" s="29"/>
      <c r="O68" s="162" t="s">
        <v>32</v>
      </c>
      <c r="P68" s="29"/>
      <c r="Q68" s="22"/>
    </row>
    <row r="69" spans="1:21" s="23" customFormat="1" ht="17.5" customHeight="1" x14ac:dyDescent="0.55000000000000004">
      <c r="B69" s="155"/>
      <c r="C69" s="28"/>
      <c r="D69" s="29"/>
      <c r="E69" s="28"/>
      <c r="F69" s="29"/>
      <c r="G69" s="162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55000000000000004">
      <c r="B70" s="155"/>
      <c r="C70" s="31"/>
      <c r="D70" s="32"/>
      <c r="E70" s="31"/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32"/>
      <c r="Q70" s="22"/>
    </row>
    <row r="71" spans="1:21" s="21" customFormat="1" ht="18" customHeight="1" x14ac:dyDescent="0.55000000000000004">
      <c r="A71" s="51"/>
      <c r="B71" s="163"/>
      <c r="C71" s="55">
        <f>IF(DAY(MaySun1)=1,IF(AND(YEAR(MaySun1+29)=CalendarYear,MONTH(MaySun1+29)=5),MaySun1+29,""),IF(AND(YEAR(MaySun1+36)=CalendarYear,MONTH(MaySun1+36)=5),MaySun1+36,""))</f>
        <v>44711</v>
      </c>
      <c r="D71" s="61" t="s">
        <v>29</v>
      </c>
      <c r="E71" s="55">
        <f>IF(DAY(MaySun1)=1,IF(AND(YEAR(MaySun1+30)=CalendarYear,MONTH(MaySun1+30)=5),MaySun1+30,""),IF(AND(YEAR(MaySun1+37)=CalendarYear,MONTH(MaySun1+37)=5),MaySun1+37,""))</f>
        <v>44712</v>
      </c>
      <c r="F71" s="61" t="s">
        <v>29</v>
      </c>
      <c r="G71" s="56" t="s">
        <v>14</v>
      </c>
      <c r="H71" s="57"/>
      <c r="I71" s="58"/>
      <c r="J71" s="57"/>
      <c r="K71" s="58"/>
      <c r="L71" s="57"/>
      <c r="M71" s="58"/>
      <c r="N71" s="57"/>
      <c r="O71" s="58"/>
      <c r="P71" s="57"/>
      <c r="Q71" s="22"/>
      <c r="T71" s="23"/>
      <c r="U71" s="24"/>
    </row>
    <row r="72" spans="1:21" s="23" customFormat="1" ht="17.5" customHeight="1" x14ac:dyDescent="0.25">
      <c r="B72" s="147"/>
      <c r="C72" s="34"/>
      <c r="D72" s="35"/>
      <c r="E72" s="34"/>
      <c r="F72" s="35"/>
      <c r="G72" s="290" t="s">
        <v>345</v>
      </c>
      <c r="H72" s="291"/>
      <c r="I72" s="291"/>
      <c r="J72" s="291"/>
      <c r="K72" s="291"/>
      <c r="L72" s="291"/>
      <c r="M72" s="291"/>
      <c r="N72" s="291"/>
      <c r="O72" s="291"/>
      <c r="P72" s="292"/>
      <c r="Q72" s="22"/>
    </row>
    <row r="73" spans="1:21" s="23" customFormat="1" ht="17.5" customHeight="1" x14ac:dyDescent="0.55000000000000004">
      <c r="B73" s="155" t="s">
        <v>1</v>
      </c>
      <c r="C73" s="170" t="s">
        <v>124</v>
      </c>
      <c r="D73" s="38"/>
      <c r="E73" s="170" t="s">
        <v>42</v>
      </c>
      <c r="F73" s="38"/>
      <c r="G73" s="293"/>
      <c r="H73" s="294"/>
      <c r="I73" s="294"/>
      <c r="J73" s="294"/>
      <c r="K73" s="294"/>
      <c r="L73" s="294"/>
      <c r="M73" s="294"/>
      <c r="N73" s="294"/>
      <c r="O73" s="294"/>
      <c r="P73" s="295"/>
      <c r="Q73" s="22"/>
    </row>
    <row r="74" spans="1:21" s="23" customFormat="1" ht="17.5" customHeight="1" x14ac:dyDescent="0.55000000000000004">
      <c r="B74" s="155"/>
      <c r="C74" s="170"/>
      <c r="D74" s="38"/>
      <c r="E74" s="170"/>
      <c r="F74" s="38"/>
      <c r="G74" s="293"/>
      <c r="H74" s="294"/>
      <c r="I74" s="294"/>
      <c r="J74" s="294"/>
      <c r="K74" s="294"/>
      <c r="L74" s="294"/>
      <c r="M74" s="294"/>
      <c r="N74" s="294"/>
      <c r="O74" s="294"/>
      <c r="P74" s="295"/>
      <c r="Q74" s="22"/>
    </row>
    <row r="75" spans="1:21" s="23" customFormat="1" ht="17.5" customHeight="1" x14ac:dyDescent="0.55000000000000004">
      <c r="B75" s="155" t="s">
        <v>3</v>
      </c>
      <c r="C75" s="170" t="s">
        <v>344</v>
      </c>
      <c r="D75" s="38"/>
      <c r="E75" s="170" t="s">
        <v>199</v>
      </c>
      <c r="F75" s="38"/>
      <c r="G75" s="293"/>
      <c r="H75" s="294"/>
      <c r="I75" s="294"/>
      <c r="J75" s="294"/>
      <c r="K75" s="294"/>
      <c r="L75" s="294"/>
      <c r="M75" s="294"/>
      <c r="N75" s="294"/>
      <c r="O75" s="294"/>
      <c r="P75" s="295"/>
      <c r="Q75" s="22"/>
    </row>
    <row r="76" spans="1:21" s="23" customFormat="1" ht="17.5" customHeight="1" x14ac:dyDescent="0.55000000000000004">
      <c r="B76" s="155"/>
      <c r="C76" s="170"/>
      <c r="D76" s="38"/>
      <c r="E76" s="170"/>
      <c r="F76" s="38"/>
      <c r="G76" s="293"/>
      <c r="H76" s="294"/>
      <c r="I76" s="294"/>
      <c r="J76" s="294"/>
      <c r="K76" s="294"/>
      <c r="L76" s="294"/>
      <c r="M76" s="294"/>
      <c r="N76" s="294"/>
      <c r="O76" s="294"/>
      <c r="P76" s="295"/>
      <c r="Q76" s="22"/>
    </row>
    <row r="77" spans="1:21" s="23" customFormat="1" ht="17.5" customHeight="1" x14ac:dyDescent="0.55000000000000004">
      <c r="B77" s="155" t="s">
        <v>4</v>
      </c>
      <c r="C77" s="170" t="s">
        <v>96</v>
      </c>
      <c r="D77" s="38"/>
      <c r="E77" s="170" t="s">
        <v>145</v>
      </c>
      <c r="F77" s="38"/>
      <c r="G77" s="293"/>
      <c r="H77" s="294"/>
      <c r="I77" s="294"/>
      <c r="J77" s="294"/>
      <c r="K77" s="294"/>
      <c r="L77" s="294"/>
      <c r="M77" s="294"/>
      <c r="N77" s="294"/>
      <c r="O77" s="294"/>
      <c r="P77" s="295"/>
      <c r="Q77" s="22"/>
    </row>
    <row r="78" spans="1:21" s="23" customFormat="1" ht="17.5" customHeight="1" x14ac:dyDescent="0.55000000000000004">
      <c r="B78" s="155"/>
      <c r="C78" s="170"/>
      <c r="D78" s="38"/>
      <c r="E78" s="170"/>
      <c r="F78" s="38"/>
      <c r="G78" s="293"/>
      <c r="H78" s="294"/>
      <c r="I78" s="294"/>
      <c r="J78" s="294"/>
      <c r="K78" s="294"/>
      <c r="L78" s="294"/>
      <c r="M78" s="294"/>
      <c r="N78" s="294"/>
      <c r="O78" s="294"/>
      <c r="P78" s="295"/>
      <c r="Q78" s="22"/>
    </row>
    <row r="79" spans="1:21" s="23" customFormat="1" ht="17.5" customHeight="1" x14ac:dyDescent="0.55000000000000004">
      <c r="B79" s="155" t="s">
        <v>30</v>
      </c>
      <c r="C79" s="170" t="s">
        <v>57</v>
      </c>
      <c r="D79" s="38"/>
      <c r="E79" s="170" t="s">
        <v>318</v>
      </c>
      <c r="F79" s="38"/>
      <c r="G79" s="293"/>
      <c r="H79" s="294"/>
      <c r="I79" s="294"/>
      <c r="J79" s="294"/>
      <c r="K79" s="294"/>
      <c r="L79" s="294"/>
      <c r="M79" s="294"/>
      <c r="N79" s="294"/>
      <c r="O79" s="294"/>
      <c r="P79" s="295"/>
      <c r="Q79" s="22"/>
    </row>
    <row r="80" spans="1:21" s="23" customFormat="1" ht="17.5" customHeight="1" x14ac:dyDescent="0.55000000000000004">
      <c r="B80" s="155"/>
      <c r="C80" s="170"/>
      <c r="D80" s="38"/>
      <c r="E80" s="170"/>
      <c r="F80" s="38"/>
      <c r="G80" s="293"/>
      <c r="H80" s="294"/>
      <c r="I80" s="294"/>
      <c r="J80" s="294"/>
      <c r="K80" s="294"/>
      <c r="L80" s="294"/>
      <c r="M80" s="294"/>
      <c r="N80" s="294"/>
      <c r="O80" s="294"/>
      <c r="P80" s="295"/>
      <c r="Q80" s="22"/>
    </row>
    <row r="81" spans="1:17" s="23" customFormat="1" ht="17.5" customHeight="1" x14ac:dyDescent="0.55000000000000004">
      <c r="B81" s="155" t="s">
        <v>6</v>
      </c>
      <c r="C81" s="170" t="s">
        <v>40</v>
      </c>
      <c r="D81" s="38"/>
      <c r="E81" s="170" t="s">
        <v>122</v>
      </c>
      <c r="F81" s="38"/>
      <c r="G81" s="293"/>
      <c r="H81" s="294"/>
      <c r="I81" s="294"/>
      <c r="J81" s="294"/>
      <c r="K81" s="294"/>
      <c r="L81" s="294"/>
      <c r="M81" s="294"/>
      <c r="N81" s="294"/>
      <c r="O81" s="294"/>
      <c r="P81" s="295"/>
      <c r="Q81" s="22"/>
    </row>
    <row r="82" spans="1:17" s="23" customFormat="1" ht="17.5" customHeight="1" x14ac:dyDescent="0.55000000000000004">
      <c r="B82" s="155"/>
      <c r="C82" s="37"/>
      <c r="D82" s="38"/>
      <c r="E82" s="37"/>
      <c r="F82" s="38"/>
      <c r="G82" s="293"/>
      <c r="H82" s="294"/>
      <c r="I82" s="294"/>
      <c r="J82" s="294"/>
      <c r="K82" s="294"/>
      <c r="L82" s="294"/>
      <c r="M82" s="294"/>
      <c r="N82" s="294"/>
      <c r="O82" s="294"/>
      <c r="P82" s="295"/>
      <c r="Q82" s="22"/>
    </row>
    <row r="83" spans="1:17" s="23" customFormat="1" ht="17.5" customHeight="1" x14ac:dyDescent="0.35">
      <c r="B83" s="48"/>
      <c r="C83" s="40"/>
      <c r="D83" s="41"/>
      <c r="E83" s="40"/>
      <c r="F83" s="41"/>
      <c r="G83" s="296"/>
      <c r="H83" s="297"/>
      <c r="I83" s="297"/>
      <c r="J83" s="297"/>
      <c r="K83" s="297"/>
      <c r="L83" s="297"/>
      <c r="M83" s="297"/>
      <c r="N83" s="297"/>
      <c r="O83" s="297"/>
      <c r="P83" s="298"/>
      <c r="Q83" s="22"/>
    </row>
    <row r="84" spans="1:17" ht="22.75" customHeight="1" x14ac:dyDescent="0.3">
      <c r="B84" s="245" t="s">
        <v>27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</row>
    <row r="85" spans="1:17" ht="22.75" customHeight="1" x14ac:dyDescent="0.3">
      <c r="A85" s="2"/>
      <c r="B85" s="244" t="s">
        <v>28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</row>
    <row r="86" spans="1:17" x14ac:dyDescent="0.3">
      <c r="A86" s="2"/>
    </row>
    <row r="87" spans="1:17" x14ac:dyDescent="0.3">
      <c r="A87" s="2"/>
    </row>
    <row r="88" spans="1:17" ht="21" customHeight="1" x14ac:dyDescent="0.3">
      <c r="A88" s="2"/>
      <c r="E88" s="5"/>
      <c r="F88" s="17"/>
      <c r="G88" s="4"/>
      <c r="H88" s="18"/>
      <c r="I88" s="3"/>
      <c r="J88" s="19"/>
    </row>
    <row r="89" spans="1:17" ht="19.5" customHeight="1" x14ac:dyDescent="0.3">
      <c r="A89" s="2"/>
    </row>
    <row r="90" spans="1:17" ht="15" x14ac:dyDescent="0.3">
      <c r="A90"/>
    </row>
    <row r="91" spans="1:17" x14ac:dyDescent="0.3">
      <c r="A91" s="2"/>
    </row>
    <row r="92" spans="1:17" x14ac:dyDescent="0.3">
      <c r="A92" s="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ht="15" x14ac:dyDescent="0.3">
      <c r="A103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ht="15" x14ac:dyDescent="0.3">
      <c r="A116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ht="15" x14ac:dyDescent="0.3">
      <c r="A129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ht="15" x14ac:dyDescent="0.3">
      <c r="A14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ht="15" x14ac:dyDescent="0.3">
      <c r="A161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ht="15" x14ac:dyDescent="0.3">
      <c r="A174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ht="15" x14ac:dyDescent="0.3">
      <c r="A187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ht="15" x14ac:dyDescent="0.3">
      <c r="A200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ht="15" x14ac:dyDescent="0.3">
      <c r="A213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ht="15" x14ac:dyDescent="0.3">
      <c r="A236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ht="15" x14ac:dyDescent="0.3">
      <c r="A249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ht="15" x14ac:dyDescent="0.3">
      <c r="A26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ht="15" x14ac:dyDescent="0.3">
      <c r="A275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ht="15" x14ac:dyDescent="0.3">
      <c r="A288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</sheetData>
  <mergeCells count="7">
    <mergeCell ref="BK4:BN5"/>
    <mergeCell ref="CB6:CC6"/>
    <mergeCell ref="B84:P84"/>
    <mergeCell ref="B85:P85"/>
    <mergeCell ref="G72:P83"/>
    <mergeCell ref="B4:C5"/>
    <mergeCell ref="G6:H6"/>
  </mergeCells>
  <printOptions horizontalCentered="1" verticalCentered="1"/>
  <pageMargins left="0.2" right="0.2" top="0.25" bottom="0.25" header="0" footer="0"/>
  <pageSetup scale="33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H302"/>
  <sheetViews>
    <sheetView showGridLines="0" topLeftCell="A4" zoomScale="50" zoomScaleNormal="50" workbookViewId="0">
      <selection activeCell="K35" sqref="K35"/>
    </sheetView>
  </sheetViews>
  <sheetFormatPr defaultColWidth="6.69140625" defaultRowHeight="14" x14ac:dyDescent="0.3"/>
  <cols>
    <col min="1" max="1" width="5.53515625" style="1" customWidth="1"/>
    <col min="2" max="2" width="23.765625" style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6.69140625" style="1" customWidth="1"/>
    <col min="8" max="8" width="7.4609375" style="14" customWidth="1"/>
    <col min="9" max="9" width="25.4609375" style="1" customWidth="1"/>
    <col min="10" max="10" width="7.4609375" style="14" customWidth="1"/>
    <col min="11" max="11" width="24.6914062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13.3046875" style="1" customWidth="1"/>
    <col min="16" max="16" width="31.3046875" style="1" customWidth="1"/>
    <col min="17" max="17" width="11.84375" style="1" customWidth="1"/>
    <col min="18" max="18" width="11.3046875" style="1" customWidth="1"/>
    <col min="19" max="16384" width="6.69140625" style="1"/>
  </cols>
  <sheetData>
    <row r="1" spans="1:86" ht="49.75" customHeight="1" x14ac:dyDescent="0.3">
      <c r="P1" s="46"/>
      <c r="Q1" s="46"/>
    </row>
    <row r="2" spans="1:86" ht="13.75" customHeight="1" x14ac:dyDescent="0.3">
      <c r="P2" s="46"/>
      <c r="Q2" s="46"/>
    </row>
    <row r="3" spans="1:86" ht="19.399999999999999" customHeight="1" x14ac:dyDescent="0.3">
      <c r="B3" s="9"/>
      <c r="P3" s="46"/>
      <c r="Q3" s="46"/>
      <c r="AZ3" s="9"/>
      <c r="BA3" s="9"/>
      <c r="BB3" s="9"/>
    </row>
    <row r="4" spans="1:86" ht="43.75" customHeight="1" x14ac:dyDescent="0.65">
      <c r="B4" s="258"/>
      <c r="C4" s="258"/>
      <c r="P4" s="46"/>
      <c r="Q4" s="46"/>
      <c r="AZ4" s="9"/>
      <c r="BA4" s="9"/>
      <c r="BB4" s="9"/>
      <c r="BI4" s="246"/>
      <c r="BJ4" s="246"/>
      <c r="BK4" s="246"/>
      <c r="BL4" s="246"/>
      <c r="CE4" s="11"/>
      <c r="CF4" s="13"/>
      <c r="CG4" s="11"/>
    </row>
    <row r="5" spans="1:86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P5" s="44"/>
      <c r="Q5" s="44"/>
      <c r="AZ5" s="9"/>
      <c r="BA5" s="9"/>
      <c r="BB5" s="9"/>
      <c r="BF5" s="9"/>
      <c r="BG5" s="9"/>
      <c r="BH5" s="9"/>
      <c r="BI5" s="246"/>
      <c r="BJ5" s="246"/>
      <c r="BK5" s="246"/>
      <c r="BL5" s="246"/>
      <c r="BM5" s="9"/>
      <c r="BN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12"/>
      <c r="CF5" s="12"/>
      <c r="CG5" s="12"/>
      <c r="CH5" s="9"/>
    </row>
    <row r="6" spans="1:86" ht="48.65" customHeight="1" x14ac:dyDescent="0.65">
      <c r="F6" s="16"/>
      <c r="G6" s="300" t="s">
        <v>19</v>
      </c>
      <c r="H6" s="300"/>
      <c r="I6" s="199" t="str">
        <f>UPPER(TEXT(DATE(CalendarYear,1,1)," yyyy"))</f>
        <v xml:space="preserve"> 2022</v>
      </c>
      <c r="J6" s="190" t="s">
        <v>359</v>
      </c>
      <c r="K6" s="191"/>
      <c r="L6" s="1"/>
      <c r="P6" s="43"/>
      <c r="Q6" s="43"/>
      <c r="BM6" s="7"/>
      <c r="BN6" s="8"/>
      <c r="BP6" s="7"/>
      <c r="BQ6" s="8"/>
      <c r="BR6" s="7"/>
      <c r="BS6" s="7"/>
      <c r="BT6" s="8"/>
      <c r="BU6" s="7"/>
      <c r="BV6" s="7"/>
      <c r="BW6" s="8"/>
      <c r="BY6" s="7"/>
      <c r="BZ6" s="247"/>
      <c r="CA6" s="247"/>
      <c r="CB6" s="10"/>
      <c r="CC6" s="8"/>
      <c r="CE6" s="11"/>
      <c r="CF6" s="11"/>
      <c r="CG6" s="11"/>
    </row>
    <row r="7" spans="1:86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13</v>
      </c>
      <c r="N7" s="45"/>
      <c r="O7" s="1"/>
      <c r="Q7" s="1"/>
      <c r="R7" s="6"/>
      <c r="V7" s="1"/>
      <c r="W7" s="1"/>
    </row>
    <row r="8" spans="1:86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 t="str">
        <f>IF(DAY(JunSun1)=1,"",IF(AND(YEAR(JunSun1+2)=CalendarYear,MONTH(JunSun1+2)=6),JunSun1+2,""))</f>
        <v/>
      </c>
      <c r="F8" s="61" t="s">
        <v>29</v>
      </c>
      <c r="G8" s="56">
        <f>IF(DAY(JunSun1)=1,"",IF(AND(YEAR(JunSun1+3)=CalendarYear,MONTH(JunSun1+3)=6),JunSun1+3,""))</f>
        <v>44713</v>
      </c>
      <c r="H8" s="61" t="s">
        <v>29</v>
      </c>
      <c r="I8" s="56">
        <f>IF(DAY(JunSun1)=1,"",IF(AND(YEAR(JunSun1+4)=CalendarYear,MONTH(JunSun1+4)=6),JunSun1+4,""))</f>
        <v>44714</v>
      </c>
      <c r="J8" s="61" t="s">
        <v>29</v>
      </c>
      <c r="K8" s="56">
        <f>IF(DAY(JunSun1)=1,"",IF(AND(YEAR(JunSun1+5)=CalendarYear,MONTH(JunSun1+5)=6),JunSun1+5,""))</f>
        <v>44715</v>
      </c>
      <c r="L8" s="61" t="s">
        <v>29</v>
      </c>
      <c r="M8" s="56">
        <f>IF(DAY(JunSun1)=1,IF(AND(YEAR(JunSun1)=CalendarYear,MONTH(JunSun1)=6),JunSun1,""),IF(AND(YEAR(JunSun1+7)=CalendarYear,MONTH(JunSun1+7)=6),JunSun1+7,""))</f>
        <v>44717</v>
      </c>
      <c r="N8" s="61" t="s">
        <v>29</v>
      </c>
      <c r="O8" s="47"/>
      <c r="R8" s="53"/>
      <c r="S8" s="54"/>
    </row>
    <row r="9" spans="1:86" s="23" customFormat="1" ht="17.5" customHeight="1" x14ac:dyDescent="0.55000000000000004">
      <c r="B9" s="155" t="s">
        <v>1</v>
      </c>
      <c r="C9" s="25"/>
      <c r="D9" s="26"/>
      <c r="E9" s="25"/>
      <c r="F9" s="26"/>
      <c r="G9" s="27" t="s">
        <v>308</v>
      </c>
      <c r="H9" s="26"/>
      <c r="I9" s="27" t="s">
        <v>42</v>
      </c>
      <c r="J9" s="26"/>
      <c r="K9" s="27" t="s">
        <v>44</v>
      </c>
      <c r="L9" s="26"/>
      <c r="M9" s="27" t="s">
        <v>32</v>
      </c>
      <c r="N9" s="26"/>
      <c r="O9" s="22"/>
    </row>
    <row r="10" spans="1:86" s="23" customFormat="1" ht="17.5" customHeight="1" x14ac:dyDescent="0.55000000000000004">
      <c r="B10" s="155"/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22"/>
    </row>
    <row r="11" spans="1:86" s="23" customFormat="1" ht="17.5" customHeight="1" x14ac:dyDescent="0.55000000000000004">
      <c r="B11" s="155" t="s">
        <v>3</v>
      </c>
      <c r="C11" s="28"/>
      <c r="D11" s="29"/>
      <c r="E11" s="28"/>
      <c r="F11" s="29"/>
      <c r="G11" s="30" t="s">
        <v>210</v>
      </c>
      <c r="H11" s="29"/>
      <c r="I11" s="30" t="s">
        <v>167</v>
      </c>
      <c r="J11" s="29"/>
      <c r="K11" s="30" t="s">
        <v>350</v>
      </c>
      <c r="L11" s="29"/>
      <c r="M11" s="30" t="s">
        <v>32</v>
      </c>
      <c r="N11" s="29"/>
      <c r="O11" s="22"/>
    </row>
    <row r="12" spans="1:86" s="23" customFormat="1" ht="17.5" customHeight="1" x14ac:dyDescent="0.55000000000000004">
      <c r="B12" s="155"/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22"/>
    </row>
    <row r="13" spans="1:86" s="23" customFormat="1" ht="17.5" customHeight="1" x14ac:dyDescent="0.55000000000000004">
      <c r="B13" s="155" t="s">
        <v>4</v>
      </c>
      <c r="C13" s="28"/>
      <c r="D13" s="29"/>
      <c r="E13" s="28"/>
      <c r="F13" s="29"/>
      <c r="G13" s="30" t="s">
        <v>56</v>
      </c>
      <c r="H13" s="29"/>
      <c r="I13" s="30" t="s">
        <v>289</v>
      </c>
      <c r="J13" s="29"/>
      <c r="K13" s="30" t="s">
        <v>96</v>
      </c>
      <c r="L13" s="29"/>
      <c r="M13" s="30" t="s">
        <v>32</v>
      </c>
      <c r="N13" s="29"/>
      <c r="O13" s="22"/>
    </row>
    <row r="14" spans="1:86" s="23" customFormat="1" ht="17.5" customHeight="1" x14ac:dyDescent="0.55000000000000004">
      <c r="B14" s="155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22"/>
    </row>
    <row r="15" spans="1:86" s="23" customFormat="1" ht="17.5" customHeight="1" x14ac:dyDescent="0.55000000000000004">
      <c r="B15" s="155" t="s">
        <v>30</v>
      </c>
      <c r="C15" s="28"/>
      <c r="D15" s="29"/>
      <c r="E15" s="28"/>
      <c r="F15" s="29"/>
      <c r="G15" s="30" t="s">
        <v>38</v>
      </c>
      <c r="H15" s="29"/>
      <c r="I15" s="30" t="s">
        <v>85</v>
      </c>
      <c r="J15" s="29"/>
      <c r="K15" s="30" t="s">
        <v>38</v>
      </c>
      <c r="L15" s="29"/>
      <c r="M15" s="30" t="s">
        <v>32</v>
      </c>
      <c r="N15" s="29"/>
      <c r="O15" s="22"/>
    </row>
    <row r="16" spans="1:86" s="23" customFormat="1" ht="17.5" customHeight="1" x14ac:dyDescent="0.55000000000000004">
      <c r="B16" s="155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22"/>
    </row>
    <row r="17" spans="2:19" s="23" customFormat="1" ht="17.5" customHeight="1" x14ac:dyDescent="0.55000000000000004">
      <c r="B17" s="155" t="s">
        <v>6</v>
      </c>
      <c r="C17" s="28"/>
      <c r="D17" s="29"/>
      <c r="E17" s="28"/>
      <c r="F17" s="29"/>
      <c r="G17" s="30" t="s">
        <v>234</v>
      </c>
      <c r="H17" s="29"/>
      <c r="I17" s="30" t="s">
        <v>168</v>
      </c>
      <c r="J17" s="29"/>
      <c r="K17" s="30" t="s">
        <v>66</v>
      </c>
      <c r="L17" s="29"/>
      <c r="M17" s="30" t="s">
        <v>32</v>
      </c>
      <c r="N17" s="29"/>
      <c r="O17" s="22"/>
    </row>
    <row r="18" spans="2:19" s="23" customFormat="1" ht="17.5" customHeight="1" x14ac:dyDescent="0.55000000000000004">
      <c r="B18" s="155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22"/>
    </row>
    <row r="19" spans="2:19" s="23" customFormat="1" ht="17.5" customHeight="1" x14ac:dyDescent="0.55000000000000004">
      <c r="B19" s="155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22"/>
    </row>
    <row r="20" spans="2:19" s="23" customFormat="1" ht="17.5" customHeight="1" x14ac:dyDescent="0.55000000000000004">
      <c r="B20" s="163"/>
      <c r="C20" s="31"/>
      <c r="D20" s="32"/>
      <c r="E20" s="31"/>
      <c r="F20" s="32"/>
      <c r="G20" s="33"/>
      <c r="H20" s="32"/>
      <c r="I20" s="33"/>
      <c r="J20" s="32"/>
      <c r="K20" s="33"/>
      <c r="L20" s="32"/>
      <c r="M20" s="33"/>
      <c r="N20" s="32"/>
      <c r="O20" s="22"/>
    </row>
    <row r="21" spans="2:19" s="51" customFormat="1" ht="18" customHeight="1" x14ac:dyDescent="0.3">
      <c r="B21" s="147"/>
      <c r="C21" s="55">
        <f>IF(DAY(JunSun1)=1,IF(AND(YEAR(JunSun1+1)=CalendarYear,MONTH(JunSun1+1)=6),JunSun1+1,""),IF(AND(YEAR(JunSun1+8)=CalendarYear,MONTH(JunSun1+8)=6),JunSun1+8,""))</f>
        <v>44718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44719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44720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44721</v>
      </c>
      <c r="J21" s="61" t="s">
        <v>29</v>
      </c>
      <c r="K21" s="56" t="s">
        <v>351</v>
      </c>
      <c r="L21" s="61" t="s">
        <v>29</v>
      </c>
      <c r="M21" s="56">
        <f>IF(DAY(JunSun1)=1,IF(AND(YEAR(JunSun1+7)=CalendarYear,MONTH(JunSun1+7)=6),JunSun1+7,""),IF(AND(YEAR(JunSun1+14)=CalendarYear,MONTH(JunSun1+14)=6),JunSun1+14,""))</f>
        <v>44724</v>
      </c>
      <c r="N21" s="61" t="s">
        <v>29</v>
      </c>
      <c r="O21" s="47"/>
      <c r="R21" s="53"/>
      <c r="S21" s="54"/>
    </row>
    <row r="22" spans="2:19" s="23" customFormat="1" ht="17.5" customHeight="1" x14ac:dyDescent="0.55000000000000004">
      <c r="B22" s="155" t="s">
        <v>1</v>
      </c>
      <c r="C22" s="34" t="s">
        <v>31</v>
      </c>
      <c r="D22" s="35"/>
      <c r="E22" s="34" t="s">
        <v>338</v>
      </c>
      <c r="F22" s="35"/>
      <c r="G22" s="36" t="s">
        <v>44</v>
      </c>
      <c r="H22" s="35"/>
      <c r="I22" s="36" t="s">
        <v>165</v>
      </c>
      <c r="J22" s="35"/>
      <c r="K22" s="36" t="s">
        <v>351</v>
      </c>
      <c r="L22" s="35"/>
      <c r="M22" s="36" t="s">
        <v>32</v>
      </c>
      <c r="N22" s="35"/>
      <c r="O22" s="22"/>
    </row>
    <row r="23" spans="2:19" s="23" customFormat="1" ht="17.5" customHeight="1" x14ac:dyDescent="0.55000000000000004">
      <c r="B23" s="155"/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22"/>
    </row>
    <row r="24" spans="2:19" s="23" customFormat="1" ht="17.5" customHeight="1" x14ac:dyDescent="0.55000000000000004">
      <c r="B24" s="155" t="s">
        <v>3</v>
      </c>
      <c r="C24" s="37" t="s">
        <v>69</v>
      </c>
      <c r="D24" s="38"/>
      <c r="E24" s="37" t="s">
        <v>251</v>
      </c>
      <c r="F24" s="38"/>
      <c r="G24" s="39" t="s">
        <v>354</v>
      </c>
      <c r="H24" s="38"/>
      <c r="I24" s="39" t="s">
        <v>73</v>
      </c>
      <c r="J24" s="38"/>
      <c r="K24" s="39" t="s">
        <v>351</v>
      </c>
      <c r="L24" s="38"/>
      <c r="M24" s="39" t="s">
        <v>32</v>
      </c>
      <c r="N24" s="38"/>
      <c r="O24" s="22"/>
    </row>
    <row r="25" spans="2:19" s="23" customFormat="1" ht="17.5" customHeight="1" x14ac:dyDescent="0.55000000000000004">
      <c r="B25" s="155"/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22"/>
    </row>
    <row r="26" spans="2:19" s="23" customFormat="1" ht="17.5" customHeight="1" x14ac:dyDescent="0.55000000000000004">
      <c r="B26" s="155" t="s">
        <v>4</v>
      </c>
      <c r="C26" s="37" t="s">
        <v>75</v>
      </c>
      <c r="D26" s="38"/>
      <c r="E26" s="37" t="s">
        <v>309</v>
      </c>
      <c r="F26" s="38"/>
      <c r="G26" s="39" t="s">
        <v>96</v>
      </c>
      <c r="H26" s="38"/>
      <c r="I26" s="39" t="s">
        <v>35</v>
      </c>
      <c r="J26" s="38"/>
      <c r="K26" s="39" t="s">
        <v>351</v>
      </c>
      <c r="L26" s="38"/>
      <c r="M26" s="39" t="s">
        <v>32</v>
      </c>
      <c r="N26" s="38"/>
      <c r="O26" s="22"/>
    </row>
    <row r="27" spans="2:19" s="23" customFormat="1" ht="17.5" customHeight="1" x14ac:dyDescent="0.55000000000000004">
      <c r="B27" s="155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22"/>
    </row>
    <row r="28" spans="2:19" s="23" customFormat="1" ht="17.5" customHeight="1" x14ac:dyDescent="0.55000000000000004">
      <c r="B28" s="155" t="s">
        <v>30</v>
      </c>
      <c r="C28" s="37" t="s">
        <v>355</v>
      </c>
      <c r="D28" s="38"/>
      <c r="E28" s="37" t="s">
        <v>38</v>
      </c>
      <c r="F28" s="38"/>
      <c r="G28" s="39" t="s">
        <v>38</v>
      </c>
      <c r="H28" s="38"/>
      <c r="I28" s="39" t="s">
        <v>282</v>
      </c>
      <c r="J28" s="38"/>
      <c r="K28" s="39" t="s">
        <v>351</v>
      </c>
      <c r="L28" s="38"/>
      <c r="M28" s="39" t="s">
        <v>32</v>
      </c>
      <c r="N28" s="38"/>
      <c r="O28" s="22"/>
    </row>
    <row r="29" spans="2:19" s="23" customFormat="1" ht="17.5" customHeight="1" x14ac:dyDescent="0.55000000000000004">
      <c r="B29" s="155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22"/>
    </row>
    <row r="30" spans="2:19" s="23" customFormat="1" ht="17.5" customHeight="1" x14ac:dyDescent="0.55000000000000004">
      <c r="B30" s="155" t="s">
        <v>6</v>
      </c>
      <c r="C30" s="37" t="s">
        <v>204</v>
      </c>
      <c r="D30" s="38"/>
      <c r="E30" s="37" t="s">
        <v>66</v>
      </c>
      <c r="F30" s="38"/>
      <c r="G30" s="39" t="s">
        <v>84</v>
      </c>
      <c r="H30" s="38"/>
      <c r="I30" s="39" t="s">
        <v>39</v>
      </c>
      <c r="J30" s="38"/>
      <c r="K30" s="39" t="s">
        <v>351</v>
      </c>
      <c r="L30" s="38"/>
      <c r="M30" s="39" t="s">
        <v>32</v>
      </c>
      <c r="N30" s="38"/>
      <c r="O30" s="22"/>
    </row>
    <row r="31" spans="2:19" s="23" customFormat="1" ht="17.5" customHeight="1" x14ac:dyDescent="0.55000000000000004">
      <c r="B31" s="155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22"/>
    </row>
    <row r="32" spans="2:19" s="23" customFormat="1" ht="17.5" customHeight="1" x14ac:dyDescent="0.55000000000000004">
      <c r="B32" s="155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22"/>
    </row>
    <row r="33" spans="2:19" s="23" customFormat="1" ht="17.5" customHeight="1" x14ac:dyDescent="0.55000000000000004">
      <c r="B33" s="163"/>
      <c r="C33" s="40"/>
      <c r="D33" s="41"/>
      <c r="E33" s="40"/>
      <c r="F33" s="41"/>
      <c r="G33" s="42"/>
      <c r="H33" s="41"/>
      <c r="I33" s="42"/>
      <c r="J33" s="41"/>
      <c r="K33" s="42"/>
      <c r="L33" s="41"/>
      <c r="M33" s="42"/>
      <c r="N33" s="41"/>
      <c r="O33" s="22"/>
    </row>
    <row r="34" spans="2:19" s="51" customFormat="1" ht="18" customHeight="1" x14ac:dyDescent="0.3">
      <c r="B34" s="147"/>
      <c r="C34" s="55">
        <f>IF(DAY(JunSun1)=1,IF(AND(YEAR(JunSun1+8)=CalendarYear,MONTH(JunSun1+8)=6),JunSun1+8,""),IF(AND(YEAR(JunSun1+15)=CalendarYear,MONTH(JunSun1+15)=6),JunSun1+15,""))</f>
        <v>44725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44726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44727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44728</v>
      </c>
      <c r="J34" s="61" t="s">
        <v>29</v>
      </c>
      <c r="K34" s="56" t="s">
        <v>358</v>
      </c>
      <c r="L34" s="61" t="s">
        <v>29</v>
      </c>
      <c r="M34" s="56">
        <f>IF(DAY(JunSun1)=1,IF(AND(YEAR(JunSun1+14)=CalendarYear,MONTH(JunSun1+14)=6),JunSun1+14,""),IF(AND(YEAR(JunSun1+21)=CalendarYear,MONTH(JunSun1+21)=6),JunSun1+21,""))</f>
        <v>44731</v>
      </c>
      <c r="N34" s="61" t="s">
        <v>29</v>
      </c>
      <c r="O34" s="47"/>
      <c r="R34" s="53"/>
      <c r="S34" s="54"/>
    </row>
    <row r="35" spans="2:19" s="23" customFormat="1" ht="17.5" customHeight="1" x14ac:dyDescent="0.55000000000000004">
      <c r="B35" s="155" t="s">
        <v>1</v>
      </c>
      <c r="C35" s="25" t="s">
        <v>124</v>
      </c>
      <c r="D35" s="26"/>
      <c r="E35" s="25" t="s">
        <v>67</v>
      </c>
      <c r="F35" s="26"/>
      <c r="G35" s="27" t="s">
        <v>161</v>
      </c>
      <c r="H35" s="26"/>
      <c r="I35" s="27" t="s">
        <v>105</v>
      </c>
      <c r="J35" s="26"/>
      <c r="K35" s="27" t="s">
        <v>358</v>
      </c>
      <c r="L35" s="26"/>
      <c r="M35" s="27" t="s">
        <v>32</v>
      </c>
      <c r="N35" s="26"/>
      <c r="O35" s="22"/>
    </row>
    <row r="36" spans="2:19" s="23" customFormat="1" ht="17.5" customHeight="1" x14ac:dyDescent="0.55000000000000004">
      <c r="B36" s="155"/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22"/>
    </row>
    <row r="37" spans="2:19" s="23" customFormat="1" ht="17.5" customHeight="1" x14ac:dyDescent="0.55000000000000004">
      <c r="B37" s="155" t="s">
        <v>3</v>
      </c>
      <c r="C37" s="28" t="s">
        <v>106</v>
      </c>
      <c r="D37" s="29"/>
      <c r="E37" s="28" t="s">
        <v>356</v>
      </c>
      <c r="F37" s="29"/>
      <c r="G37" s="30" t="s">
        <v>162</v>
      </c>
      <c r="H37" s="29"/>
      <c r="I37" s="30" t="s">
        <v>142</v>
      </c>
      <c r="J37" s="29"/>
      <c r="K37" s="30" t="s">
        <v>358</v>
      </c>
      <c r="L37" s="29"/>
      <c r="M37" s="30" t="s">
        <v>32</v>
      </c>
      <c r="N37" s="29"/>
      <c r="O37" s="22"/>
    </row>
    <row r="38" spans="2:19" s="23" customFormat="1" ht="17.5" customHeight="1" x14ac:dyDescent="0.55000000000000004">
      <c r="B38" s="155"/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22"/>
    </row>
    <row r="39" spans="2:19" s="23" customFormat="1" ht="17.5" customHeight="1" x14ac:dyDescent="0.55000000000000004">
      <c r="B39" s="155" t="s">
        <v>4</v>
      </c>
      <c r="C39" s="28" t="s">
        <v>357</v>
      </c>
      <c r="D39" s="29"/>
      <c r="E39" s="28" t="s">
        <v>96</v>
      </c>
      <c r="F39" s="29"/>
      <c r="G39" s="30" t="s">
        <v>201</v>
      </c>
      <c r="H39" s="29"/>
      <c r="I39" s="30" t="s">
        <v>309</v>
      </c>
      <c r="J39" s="29"/>
      <c r="K39" s="30" t="s">
        <v>358</v>
      </c>
      <c r="L39" s="29"/>
      <c r="M39" s="30" t="s">
        <v>32</v>
      </c>
      <c r="N39" s="29"/>
      <c r="O39" s="22"/>
    </row>
    <row r="40" spans="2:19" s="23" customFormat="1" ht="17.5" customHeight="1" x14ac:dyDescent="0.55000000000000004">
      <c r="B40" s="155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22"/>
    </row>
    <row r="41" spans="2:19" s="23" customFormat="1" ht="17.5" customHeight="1" x14ac:dyDescent="0.55000000000000004">
      <c r="B41" s="155" t="s">
        <v>30</v>
      </c>
      <c r="C41" s="28" t="s">
        <v>39</v>
      </c>
      <c r="D41" s="29"/>
      <c r="E41" s="28" t="s">
        <v>38</v>
      </c>
      <c r="F41" s="29"/>
      <c r="G41" s="30" t="s">
        <v>148</v>
      </c>
      <c r="H41" s="29"/>
      <c r="I41" s="30" t="s">
        <v>289</v>
      </c>
      <c r="J41" s="29"/>
      <c r="K41" s="30" t="s">
        <v>358</v>
      </c>
      <c r="L41" s="29"/>
      <c r="M41" s="30" t="s">
        <v>32</v>
      </c>
      <c r="N41" s="29"/>
      <c r="O41" s="22"/>
    </row>
    <row r="42" spans="2:19" s="23" customFormat="1" ht="17.5" customHeight="1" x14ac:dyDescent="0.55000000000000004">
      <c r="B42" s="155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22"/>
    </row>
    <row r="43" spans="2:19" s="23" customFormat="1" ht="17.5" customHeight="1" x14ac:dyDescent="0.55000000000000004">
      <c r="B43" s="155" t="s">
        <v>6</v>
      </c>
      <c r="C43" s="28" t="s">
        <v>40</v>
      </c>
      <c r="D43" s="29"/>
      <c r="E43" s="28" t="s">
        <v>66</v>
      </c>
      <c r="F43" s="29"/>
      <c r="G43" s="30" t="s">
        <v>122</v>
      </c>
      <c r="H43" s="29"/>
      <c r="I43" s="30" t="s">
        <v>57</v>
      </c>
      <c r="J43" s="29"/>
      <c r="K43" s="30" t="s">
        <v>358</v>
      </c>
      <c r="L43" s="29"/>
      <c r="M43" s="30" t="s">
        <v>32</v>
      </c>
      <c r="N43" s="29"/>
      <c r="O43" s="22"/>
    </row>
    <row r="44" spans="2:19" s="23" customFormat="1" ht="17.5" customHeight="1" x14ac:dyDescent="0.55000000000000004">
      <c r="B44" s="155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22"/>
    </row>
    <row r="45" spans="2:19" s="23" customFormat="1" ht="17.5" customHeight="1" x14ac:dyDescent="0.55000000000000004">
      <c r="B45" s="155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22"/>
    </row>
    <row r="46" spans="2:19" s="23" customFormat="1" ht="17.5" customHeight="1" x14ac:dyDescent="0.55000000000000004">
      <c r="B46" s="163"/>
      <c r="C46" s="31"/>
      <c r="D46" s="32"/>
      <c r="E46" s="31"/>
      <c r="F46" s="32"/>
      <c r="G46" s="33"/>
      <c r="H46" s="32"/>
      <c r="I46" s="33"/>
      <c r="J46" s="32"/>
      <c r="K46" s="33"/>
      <c r="L46" s="32"/>
      <c r="M46" s="33"/>
      <c r="N46" s="32"/>
      <c r="O46" s="22"/>
    </row>
    <row r="47" spans="2:19" s="51" customFormat="1" ht="18" customHeight="1" x14ac:dyDescent="0.3">
      <c r="B47" s="147"/>
      <c r="C47" s="55">
        <f>IF(DAY(JunSun1)=1,IF(AND(YEAR(JunSun1+15)=CalendarYear,MONTH(JunSun1+15)=6),JunSun1+15,""),IF(AND(YEAR(JunSun1+22)=CalendarYear,MONTH(JunSun1+22)=6),JunSun1+22,""))</f>
        <v>44732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44733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44734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44735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44736</v>
      </c>
      <c r="L47" s="61" t="s">
        <v>29</v>
      </c>
      <c r="M47" s="56">
        <f>IF(DAY(JunSun1)=1,IF(AND(YEAR(JunSun1+21)=CalendarYear,MONTH(JunSun1+21)=6),JunSun1+21,""),IF(AND(YEAR(JunSun1+28)=CalendarYear,MONTH(JunSun1+28)=6),JunSun1+28,""))</f>
        <v>44738</v>
      </c>
      <c r="N47" s="61" t="s">
        <v>29</v>
      </c>
      <c r="O47" s="47"/>
      <c r="R47" s="53"/>
      <c r="S47" s="54"/>
    </row>
    <row r="48" spans="2:19" s="23" customFormat="1" ht="17.5" customHeight="1" x14ac:dyDescent="0.55000000000000004">
      <c r="B48" s="155" t="s">
        <v>1</v>
      </c>
      <c r="C48" s="34" t="s">
        <v>222</v>
      </c>
      <c r="D48" s="35"/>
      <c r="E48" s="34" t="s">
        <v>31</v>
      </c>
      <c r="F48" s="35"/>
      <c r="G48" s="36" t="s">
        <v>308</v>
      </c>
      <c r="H48" s="35"/>
      <c r="I48" s="36" t="s">
        <v>45</v>
      </c>
      <c r="J48" s="35"/>
      <c r="K48" s="36" t="s">
        <v>44</v>
      </c>
      <c r="L48" s="35"/>
      <c r="M48" s="36"/>
      <c r="N48" s="35"/>
      <c r="O48" s="22"/>
    </row>
    <row r="49" spans="2:19" s="23" customFormat="1" ht="17.5" customHeight="1" x14ac:dyDescent="0.55000000000000004">
      <c r="B49" s="155"/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22"/>
    </row>
    <row r="50" spans="2:19" s="23" customFormat="1" ht="17.5" customHeight="1" x14ac:dyDescent="0.55000000000000004">
      <c r="B50" s="155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22"/>
    </row>
    <row r="51" spans="2:19" s="23" customFormat="1" ht="17.5" customHeight="1" x14ac:dyDescent="0.55000000000000004">
      <c r="B51" s="155"/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22"/>
    </row>
    <row r="52" spans="2:19" s="23" customFormat="1" ht="17.5" customHeight="1" x14ac:dyDescent="0.55000000000000004">
      <c r="B52" s="155" t="s">
        <v>4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22"/>
    </row>
    <row r="53" spans="2:19" s="23" customFormat="1" ht="17.5" customHeight="1" x14ac:dyDescent="0.55000000000000004">
      <c r="B53" s="155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22"/>
    </row>
    <row r="54" spans="2:19" s="23" customFormat="1" ht="17.5" customHeight="1" x14ac:dyDescent="0.55000000000000004">
      <c r="B54" s="155" t="s">
        <v>30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22"/>
    </row>
    <row r="55" spans="2:19" s="23" customFormat="1" ht="17.5" customHeight="1" x14ac:dyDescent="0.55000000000000004">
      <c r="B55" s="155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22"/>
    </row>
    <row r="56" spans="2:19" s="23" customFormat="1" ht="17.5" customHeight="1" x14ac:dyDescent="0.55000000000000004">
      <c r="B56" s="155" t="s">
        <v>6</v>
      </c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22"/>
    </row>
    <row r="57" spans="2:19" s="23" customFormat="1" ht="17.5" customHeight="1" x14ac:dyDescent="0.55000000000000004">
      <c r="B57" s="155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22"/>
    </row>
    <row r="58" spans="2:19" s="23" customFormat="1" ht="17.5" customHeight="1" x14ac:dyDescent="0.55000000000000004">
      <c r="B58" s="155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22"/>
    </row>
    <row r="59" spans="2:19" s="23" customFormat="1" ht="17.5" customHeight="1" x14ac:dyDescent="0.55000000000000004">
      <c r="B59" s="163"/>
      <c r="C59" s="40"/>
      <c r="D59" s="41"/>
      <c r="E59" s="40"/>
      <c r="F59" s="41"/>
      <c r="G59" s="42"/>
      <c r="H59" s="41"/>
      <c r="I59" s="42"/>
      <c r="J59" s="41"/>
      <c r="K59" s="42"/>
      <c r="L59" s="41"/>
      <c r="M59" s="42"/>
      <c r="N59" s="41"/>
      <c r="O59" s="22"/>
    </row>
    <row r="60" spans="2:19" s="51" customFormat="1" ht="18" customHeight="1" x14ac:dyDescent="0.3">
      <c r="B60" s="147"/>
      <c r="C60" s="55">
        <f>IF(DAY(JunSun1)=1,IF(AND(YEAR(JunSun1+22)=CalendarYear,MONTH(JunSun1+22)=6),JunSun1+22,""),IF(AND(YEAR(JunSun1+29)=CalendarYear,MONTH(JunSun1+29)=6),JunSun1+29,""))</f>
        <v>44739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44740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44741</v>
      </c>
      <c r="H60" s="61" t="s">
        <v>29</v>
      </c>
      <c r="I60" s="56">
        <f>IF(DAY(JunSun1)=1,IF(AND(YEAR(JunSun1+25)=CalendarYear,MONTH(JunSun1+25)=6),JunSun1+25,""),IF(AND(YEAR(JunSun1+32)=CalendarYear,MONTH(JunSun1+32)=6),JunSun1+32,""))</f>
        <v>44742</v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IF(DAY(JunSun1)=1,IF(AND(YEAR(JunSun1+28)=CalendarYear,MONTH(JunSun1+28)=6),JunSun1+28,""),IF(AND(YEAR(JunSun1+35)=CalendarYear,MONTH(JunSun1+35)=6),JunSun1+35,""))</f>
        <v/>
      </c>
      <c r="N60" s="61" t="s">
        <v>29</v>
      </c>
      <c r="O60" s="47"/>
      <c r="R60" s="53"/>
      <c r="S60" s="54"/>
    </row>
    <row r="61" spans="2:19" s="23" customFormat="1" ht="17.5" customHeight="1" x14ac:dyDescent="0.55000000000000004">
      <c r="B61" s="155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2"/>
    </row>
    <row r="62" spans="2:19" s="23" customFormat="1" ht="17.5" customHeight="1" x14ac:dyDescent="0.55000000000000004">
      <c r="B62" s="155"/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22"/>
    </row>
    <row r="63" spans="2:19" s="23" customFormat="1" ht="17.5" customHeight="1" x14ac:dyDescent="0.55000000000000004">
      <c r="B63" s="155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22"/>
    </row>
    <row r="64" spans="2:19" s="23" customFormat="1" ht="17.5" customHeight="1" x14ac:dyDescent="0.55000000000000004">
      <c r="B64" s="155"/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22"/>
    </row>
    <row r="65" spans="1:19" s="23" customFormat="1" ht="17.5" customHeight="1" x14ac:dyDescent="0.55000000000000004">
      <c r="B65" s="155" t="s">
        <v>4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22"/>
    </row>
    <row r="66" spans="1:19" s="23" customFormat="1" ht="17.5" customHeight="1" x14ac:dyDescent="0.55000000000000004">
      <c r="B66" s="155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22"/>
    </row>
    <row r="67" spans="1:19" s="23" customFormat="1" ht="17.5" customHeight="1" x14ac:dyDescent="0.55000000000000004">
      <c r="B67" s="155" t="s">
        <v>30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22"/>
    </row>
    <row r="68" spans="1:19" s="23" customFormat="1" ht="17.5" customHeight="1" x14ac:dyDescent="0.55000000000000004">
      <c r="B68" s="155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22"/>
    </row>
    <row r="69" spans="1:19" s="23" customFormat="1" ht="17.5" customHeight="1" x14ac:dyDescent="0.55000000000000004">
      <c r="B69" s="155" t="s">
        <v>6</v>
      </c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22"/>
    </row>
    <row r="70" spans="1:19" s="23" customFormat="1" ht="17.5" customHeight="1" x14ac:dyDescent="0.55000000000000004">
      <c r="B70" s="155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22"/>
    </row>
    <row r="71" spans="1:19" s="23" customFormat="1" ht="17.5" customHeight="1" x14ac:dyDescent="0.55000000000000004">
      <c r="B71" s="155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22"/>
    </row>
    <row r="72" spans="1:19" s="23" customFormat="1" ht="17.5" customHeight="1" x14ac:dyDescent="0.55000000000000004">
      <c r="B72" s="163"/>
      <c r="C72" s="31"/>
      <c r="D72" s="32"/>
      <c r="E72" s="31"/>
      <c r="F72" s="32"/>
      <c r="G72" s="33"/>
      <c r="H72" s="32"/>
      <c r="I72" s="33"/>
      <c r="J72" s="32"/>
      <c r="K72" s="33"/>
      <c r="L72" s="32"/>
      <c r="M72" s="33"/>
      <c r="N72" s="32"/>
      <c r="O72" s="22"/>
    </row>
    <row r="73" spans="1:19" s="21" customFormat="1" ht="18" customHeight="1" x14ac:dyDescent="0.3">
      <c r="A73" s="51"/>
      <c r="B73" s="147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22"/>
      <c r="R73" s="23"/>
      <c r="S73" s="24"/>
    </row>
    <row r="74" spans="1:19" s="23" customFormat="1" ht="17.5" customHeight="1" x14ac:dyDescent="0.55000000000000004">
      <c r="B74" s="155" t="s">
        <v>1</v>
      </c>
      <c r="C74" s="34"/>
      <c r="D74" s="35"/>
      <c r="E74" s="34"/>
      <c r="F74" s="35"/>
      <c r="G74" s="299"/>
      <c r="H74" s="291"/>
      <c r="I74" s="291"/>
      <c r="J74" s="291"/>
      <c r="K74" s="291"/>
      <c r="L74" s="291"/>
      <c r="M74" s="291"/>
      <c r="N74" s="292"/>
      <c r="O74" s="22"/>
    </row>
    <row r="75" spans="1:19" s="23" customFormat="1" ht="17.5" customHeight="1" x14ac:dyDescent="0.55000000000000004">
      <c r="B75" s="155"/>
      <c r="C75" s="37"/>
      <c r="D75" s="38"/>
      <c r="E75" s="37"/>
      <c r="F75" s="38"/>
      <c r="G75" s="293"/>
      <c r="H75" s="294"/>
      <c r="I75" s="294"/>
      <c r="J75" s="294"/>
      <c r="K75" s="294"/>
      <c r="L75" s="294"/>
      <c r="M75" s="294"/>
      <c r="N75" s="295"/>
      <c r="O75" s="22"/>
    </row>
    <row r="76" spans="1:19" s="23" customFormat="1" ht="17.5" customHeight="1" x14ac:dyDescent="0.55000000000000004">
      <c r="B76" s="155" t="s">
        <v>3</v>
      </c>
      <c r="C76" s="37"/>
      <c r="D76" s="38"/>
      <c r="E76" s="37"/>
      <c r="F76" s="38"/>
      <c r="G76" s="293"/>
      <c r="H76" s="294"/>
      <c r="I76" s="294"/>
      <c r="J76" s="294"/>
      <c r="K76" s="294"/>
      <c r="L76" s="294"/>
      <c r="M76" s="294"/>
      <c r="N76" s="295"/>
      <c r="O76" s="22"/>
    </row>
    <row r="77" spans="1:19" s="23" customFormat="1" ht="17.5" customHeight="1" x14ac:dyDescent="0.55000000000000004">
      <c r="B77" s="155"/>
      <c r="C77" s="37"/>
      <c r="D77" s="38"/>
      <c r="E77" s="37"/>
      <c r="F77" s="38"/>
      <c r="G77" s="293"/>
      <c r="H77" s="294"/>
      <c r="I77" s="294"/>
      <c r="J77" s="294"/>
      <c r="K77" s="294"/>
      <c r="L77" s="294"/>
      <c r="M77" s="294"/>
      <c r="N77" s="295"/>
      <c r="O77" s="22"/>
    </row>
    <row r="78" spans="1:19" s="23" customFormat="1" ht="17.5" customHeight="1" x14ac:dyDescent="0.55000000000000004">
      <c r="B78" s="155" t="s">
        <v>4</v>
      </c>
      <c r="C78" s="37"/>
      <c r="D78" s="38"/>
      <c r="E78" s="37"/>
      <c r="F78" s="38"/>
      <c r="G78" s="293"/>
      <c r="H78" s="294"/>
      <c r="I78" s="294"/>
      <c r="J78" s="294"/>
      <c r="K78" s="294"/>
      <c r="L78" s="294"/>
      <c r="M78" s="294"/>
      <c r="N78" s="295"/>
      <c r="O78" s="22"/>
    </row>
    <row r="79" spans="1:19" s="23" customFormat="1" ht="17.5" customHeight="1" x14ac:dyDescent="0.55000000000000004">
      <c r="B79" s="155"/>
      <c r="C79" s="37"/>
      <c r="D79" s="38"/>
      <c r="E79" s="37"/>
      <c r="F79" s="38"/>
      <c r="G79" s="293"/>
      <c r="H79" s="294"/>
      <c r="I79" s="294"/>
      <c r="J79" s="294"/>
      <c r="K79" s="294"/>
      <c r="L79" s="294"/>
      <c r="M79" s="294"/>
      <c r="N79" s="295"/>
      <c r="O79" s="22"/>
    </row>
    <row r="80" spans="1:19" s="23" customFormat="1" ht="17.5" customHeight="1" x14ac:dyDescent="0.55000000000000004">
      <c r="B80" s="155" t="s">
        <v>30</v>
      </c>
      <c r="C80" s="37"/>
      <c r="D80" s="38"/>
      <c r="E80" s="37"/>
      <c r="F80" s="38"/>
      <c r="G80" s="293"/>
      <c r="H80" s="294"/>
      <c r="I80" s="294"/>
      <c r="J80" s="294"/>
      <c r="K80" s="294"/>
      <c r="L80" s="294"/>
      <c r="M80" s="294"/>
      <c r="N80" s="295"/>
      <c r="O80" s="22"/>
    </row>
    <row r="81" spans="1:15" s="23" customFormat="1" ht="17.5" customHeight="1" x14ac:dyDescent="0.55000000000000004">
      <c r="B81" s="155"/>
      <c r="C81" s="37"/>
      <c r="D81" s="38"/>
      <c r="E81" s="37"/>
      <c r="F81" s="38"/>
      <c r="G81" s="293"/>
      <c r="H81" s="294"/>
      <c r="I81" s="294"/>
      <c r="J81" s="294"/>
      <c r="K81" s="294"/>
      <c r="L81" s="294"/>
      <c r="M81" s="294"/>
      <c r="N81" s="295"/>
      <c r="O81" s="22"/>
    </row>
    <row r="82" spans="1:15" s="23" customFormat="1" ht="17.5" customHeight="1" x14ac:dyDescent="0.55000000000000004">
      <c r="B82" s="155" t="s">
        <v>6</v>
      </c>
      <c r="C82" s="37"/>
      <c r="D82" s="38"/>
      <c r="E82" s="37"/>
      <c r="F82" s="38"/>
      <c r="G82" s="293"/>
      <c r="H82" s="294"/>
      <c r="I82" s="294"/>
      <c r="J82" s="294"/>
      <c r="K82" s="294"/>
      <c r="L82" s="294"/>
      <c r="M82" s="294"/>
      <c r="N82" s="295"/>
      <c r="O82" s="22"/>
    </row>
    <row r="83" spans="1:15" s="23" customFormat="1" ht="17.5" customHeight="1" x14ac:dyDescent="0.55000000000000004">
      <c r="B83" s="155"/>
      <c r="C83" s="37"/>
      <c r="D83" s="38"/>
      <c r="E83" s="37"/>
      <c r="F83" s="38"/>
      <c r="G83" s="293"/>
      <c r="H83" s="294"/>
      <c r="I83" s="294"/>
      <c r="J83" s="294"/>
      <c r="K83" s="294"/>
      <c r="L83" s="294"/>
      <c r="M83" s="294"/>
      <c r="N83" s="295"/>
      <c r="O83" s="22"/>
    </row>
    <row r="84" spans="1:15" s="23" customFormat="1" ht="17.5" customHeight="1" x14ac:dyDescent="0.35">
      <c r="B84" s="48"/>
      <c r="C84" s="37"/>
      <c r="D84" s="38"/>
      <c r="E84" s="37"/>
      <c r="F84" s="38"/>
      <c r="G84" s="293"/>
      <c r="H84" s="294"/>
      <c r="I84" s="294"/>
      <c r="J84" s="294"/>
      <c r="K84" s="294"/>
      <c r="L84" s="294"/>
      <c r="M84" s="294"/>
      <c r="N84" s="295"/>
      <c r="O84" s="22"/>
    </row>
    <row r="85" spans="1:15" s="23" customFormat="1" ht="17.5" customHeight="1" x14ac:dyDescent="0.35">
      <c r="B85" s="49"/>
      <c r="C85" s="40"/>
      <c r="D85" s="41"/>
      <c r="E85" s="40"/>
      <c r="F85" s="41"/>
      <c r="G85" s="296"/>
      <c r="H85" s="297"/>
      <c r="I85" s="297"/>
      <c r="J85" s="297"/>
      <c r="K85" s="297"/>
      <c r="L85" s="297"/>
      <c r="M85" s="297"/>
      <c r="N85" s="298"/>
      <c r="O85" s="22"/>
    </row>
    <row r="86" spans="1:15" ht="22.75" customHeight="1" x14ac:dyDescent="0.3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</row>
    <row r="87" spans="1:15" ht="22.75" customHeight="1" x14ac:dyDescent="0.3">
      <c r="A87" s="2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</row>
    <row r="88" spans="1:15" x14ac:dyDescent="0.3">
      <c r="A88" s="2"/>
    </row>
    <row r="89" spans="1:15" x14ac:dyDescent="0.3">
      <c r="A89" s="2"/>
    </row>
    <row r="90" spans="1:15" ht="21" customHeight="1" x14ac:dyDescent="0.3">
      <c r="A90" s="2"/>
      <c r="E90" s="5"/>
      <c r="F90" s="17"/>
      <c r="G90" s="4"/>
      <c r="H90" s="18"/>
      <c r="I90" s="3"/>
      <c r="J90" s="19"/>
    </row>
    <row r="91" spans="1:15" ht="19.5" customHeight="1" x14ac:dyDescent="0.3">
      <c r="A91" s="2"/>
    </row>
    <row r="92" spans="1:15" ht="15" x14ac:dyDescent="0.3">
      <c r="A92"/>
    </row>
    <row r="93" spans="1:15" x14ac:dyDescent="0.3">
      <c r="A93" s="2"/>
    </row>
    <row r="94" spans="1:15" x14ac:dyDescent="0.3">
      <c r="A94" s="2"/>
    </row>
    <row r="95" spans="1:15" x14ac:dyDescent="0.3">
      <c r="A95" s="2"/>
    </row>
    <row r="96" spans="1:15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I4:BL5"/>
    <mergeCell ref="BZ6:CA6"/>
    <mergeCell ref="B86:N86"/>
    <mergeCell ref="B87:N87"/>
    <mergeCell ref="G74:N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258"/>
      <c r="C4" s="258"/>
      <c r="R4" s="46"/>
      <c r="S4" s="46"/>
      <c r="BB4" s="9"/>
      <c r="BC4" s="9"/>
      <c r="BD4" s="9"/>
      <c r="BK4" s="246"/>
      <c r="BL4" s="246"/>
      <c r="BM4" s="246"/>
      <c r="BN4" s="246"/>
      <c r="CG4" s="11"/>
      <c r="CH4" s="13"/>
      <c r="CI4" s="11"/>
    </row>
    <row r="5" spans="1:88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246"/>
      <c r="BL5" s="246"/>
      <c r="BM5" s="246"/>
      <c r="BN5" s="246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59" t="s">
        <v>20</v>
      </c>
      <c r="H6" s="259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247"/>
      <c r="CC6" s="247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 t="str">
        <f>IF(DAY(JulSun1)=1,"",IF(AND(YEAR(JulSun1+4)=CalendarYear,MONTH(JulSun1+4)=7),JulSun1+4,""))</f>
        <v/>
      </c>
      <c r="J8" s="61" t="s">
        <v>29</v>
      </c>
      <c r="K8" s="56">
        <f>IF(DAY(JulSun1)=1,"",IF(AND(YEAR(JulSun1+5)=CalendarYear,MONTH(JulSun1+5)=7),JulSun1+5,""))</f>
        <v>44743</v>
      </c>
      <c r="L8" s="61" t="s">
        <v>29</v>
      </c>
      <c r="M8" s="56">
        <f>IF(DAY(JulSun1)=1,"",IF(AND(YEAR(JulSun1+6)=CalendarYear,MONTH(JulSun1+6)=7),JulSun1+6,""))</f>
        <v>44744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44745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44746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44747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44748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44749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44750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44751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44752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44753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44754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44755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44756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44757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44758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44759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44760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44761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44762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44763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44764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44765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44766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44767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44768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44769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44770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44771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44772</v>
      </c>
      <c r="N60" s="61" t="s">
        <v>29</v>
      </c>
      <c r="O60" s="56">
        <f>IF(DAY(JulSun1)=1,IF(AND(YEAR(JulSun1+28)=CalendarYear,MONTH(JulSun1+28)=7),JulSun1+28,""),IF(AND(YEAR(JulSun1+35)=CalendarYear,MONTH(JulSun1+35)=7),JulSun1+35,""))</f>
        <v>44773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299"/>
      <c r="H74" s="291"/>
      <c r="I74" s="291"/>
      <c r="J74" s="291"/>
      <c r="K74" s="291"/>
      <c r="L74" s="291"/>
      <c r="M74" s="291"/>
      <c r="N74" s="291"/>
      <c r="O74" s="291"/>
      <c r="P74" s="2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293"/>
      <c r="H75" s="294"/>
      <c r="I75" s="294"/>
      <c r="J75" s="294"/>
      <c r="K75" s="294"/>
      <c r="L75" s="294"/>
      <c r="M75" s="294"/>
      <c r="N75" s="294"/>
      <c r="O75" s="294"/>
      <c r="P75" s="2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293"/>
      <c r="H76" s="294"/>
      <c r="I76" s="294"/>
      <c r="J76" s="294"/>
      <c r="K76" s="294"/>
      <c r="L76" s="294"/>
      <c r="M76" s="294"/>
      <c r="N76" s="294"/>
      <c r="O76" s="294"/>
      <c r="P76" s="2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293"/>
      <c r="H77" s="294"/>
      <c r="I77" s="294"/>
      <c r="J77" s="294"/>
      <c r="K77" s="294"/>
      <c r="L77" s="294"/>
      <c r="M77" s="294"/>
      <c r="N77" s="294"/>
      <c r="O77" s="294"/>
      <c r="P77" s="2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293"/>
      <c r="H78" s="294"/>
      <c r="I78" s="294"/>
      <c r="J78" s="294"/>
      <c r="K78" s="294"/>
      <c r="L78" s="294"/>
      <c r="M78" s="294"/>
      <c r="N78" s="294"/>
      <c r="O78" s="294"/>
      <c r="P78" s="2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93"/>
      <c r="H79" s="294"/>
      <c r="I79" s="294"/>
      <c r="J79" s="294"/>
      <c r="K79" s="294"/>
      <c r="L79" s="294"/>
      <c r="M79" s="294"/>
      <c r="N79" s="294"/>
      <c r="O79" s="294"/>
      <c r="P79" s="2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293"/>
      <c r="H80" s="294"/>
      <c r="I80" s="294"/>
      <c r="J80" s="294"/>
      <c r="K80" s="294"/>
      <c r="L80" s="294"/>
      <c r="M80" s="294"/>
      <c r="N80" s="294"/>
      <c r="O80" s="294"/>
      <c r="P80" s="2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293"/>
      <c r="H81" s="294"/>
      <c r="I81" s="294"/>
      <c r="J81" s="294"/>
      <c r="K81" s="294"/>
      <c r="L81" s="294"/>
      <c r="M81" s="294"/>
      <c r="N81" s="294"/>
      <c r="O81" s="294"/>
      <c r="P81" s="2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293"/>
      <c r="H82" s="294"/>
      <c r="I82" s="294"/>
      <c r="J82" s="294"/>
      <c r="K82" s="294"/>
      <c r="L82" s="294"/>
      <c r="M82" s="294"/>
      <c r="N82" s="294"/>
      <c r="O82" s="294"/>
      <c r="P82" s="2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293"/>
      <c r="H83" s="294"/>
      <c r="I83" s="294"/>
      <c r="J83" s="294"/>
      <c r="K83" s="294"/>
      <c r="L83" s="294"/>
      <c r="M83" s="294"/>
      <c r="N83" s="294"/>
      <c r="O83" s="294"/>
      <c r="P83" s="2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93"/>
      <c r="H84" s="294"/>
      <c r="I84" s="294"/>
      <c r="J84" s="294"/>
      <c r="K84" s="294"/>
      <c r="L84" s="294"/>
      <c r="M84" s="294"/>
      <c r="N84" s="294"/>
      <c r="O84" s="294"/>
      <c r="P84" s="2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96"/>
      <c r="H85" s="297"/>
      <c r="I85" s="297"/>
      <c r="J85" s="297"/>
      <c r="K85" s="297"/>
      <c r="L85" s="297"/>
      <c r="M85" s="297"/>
      <c r="N85" s="297"/>
      <c r="O85" s="297"/>
      <c r="P85" s="298"/>
      <c r="Q85" s="22"/>
    </row>
    <row r="86" spans="1:17" ht="22.75" customHeight="1" x14ac:dyDescent="0.3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</row>
    <row r="87" spans="1:17" ht="22.75" customHeight="1" x14ac:dyDescent="0.3">
      <c r="A87" s="2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33" sqref="C33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258"/>
      <c r="C4" s="258"/>
      <c r="R4" s="46"/>
      <c r="S4" s="46"/>
      <c r="BB4" s="9"/>
      <c r="BC4" s="9"/>
      <c r="BD4" s="9"/>
      <c r="BK4" s="246"/>
      <c r="BL4" s="246"/>
      <c r="BM4" s="246"/>
      <c r="BN4" s="246"/>
      <c r="CG4" s="11"/>
      <c r="CH4" s="13"/>
      <c r="CI4" s="11"/>
    </row>
    <row r="5" spans="1:88" ht="30" customHeight="1" x14ac:dyDescent="0.65">
      <c r="B5" s="258"/>
      <c r="C5" s="258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246"/>
      <c r="BL5" s="246"/>
      <c r="BM5" s="246"/>
      <c r="BN5" s="246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259" t="s">
        <v>21</v>
      </c>
      <c r="H6" s="259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247"/>
      <c r="CC6" s="247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IF(DAY(AugSun1)=1,"",IF(AND(YEAR(AugSun1+1)=CalendarYear,MONTH(AugSun1+1)=8),AugSun1+1,""))</f>
        <v>44774</v>
      </c>
      <c r="D8" s="61" t="s">
        <v>29</v>
      </c>
      <c r="E8" s="55">
        <f>IF(DAY(AugSun1)=1,"",IF(AND(YEAR(AugSun1+2)=CalendarYear,MONTH(AugSun1+2)=8),AugSun1+2,""))</f>
        <v>44775</v>
      </c>
      <c r="F8" s="61" t="s">
        <v>29</v>
      </c>
      <c r="G8" s="56">
        <f>IF(DAY(AugSun1)=1,"",IF(AND(YEAR(AugSun1+3)=CalendarYear,MONTH(AugSun1+3)=8),AugSun1+3,""))</f>
        <v>44776</v>
      </c>
      <c r="H8" s="61" t="s">
        <v>29</v>
      </c>
      <c r="I8" s="56">
        <f>IF(DAY(AugSun1)=1,"",IF(AND(YEAR(AugSun1+4)=CalendarYear,MONTH(AugSun1+4)=8),AugSun1+4,""))</f>
        <v>44777</v>
      </c>
      <c r="J8" s="61" t="s">
        <v>29</v>
      </c>
      <c r="K8" s="56">
        <f>IF(DAY(AugSun1)=1,"",IF(AND(YEAR(AugSun1+5)=CalendarYear,MONTH(AugSun1+5)=8),AugSun1+5,""))</f>
        <v>44778</v>
      </c>
      <c r="L8" s="61" t="s">
        <v>29</v>
      </c>
      <c r="M8" s="56">
        <f>IF(DAY(AugSun1)=1,"",IF(AND(YEAR(AugSun1+6)=CalendarYear,MONTH(AugSun1+6)=8),AugSun1+6,""))</f>
        <v>44779</v>
      </c>
      <c r="N8" s="61" t="s">
        <v>29</v>
      </c>
      <c r="O8" s="56">
        <f>IF(DAY(AugSun1)=1,IF(AND(YEAR(AugSun1)=CalendarYear,MONTH(AugSun1)=8),AugSun1,""),IF(AND(YEAR(AugSun1+7)=CalendarYear,MONTH(AugSun1+7)=8),AugSun1+7,""))</f>
        <v>44780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44781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44782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44783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44784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44785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44786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44787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44788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44789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44790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44791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44792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44793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44794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44795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44796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44797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44798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44799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44800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44801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44802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44803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44804</v>
      </c>
      <c r="H60" s="61" t="s">
        <v>29</v>
      </c>
      <c r="I60" s="56" t="str">
        <f>IF(DAY(AugSun1)=1,IF(AND(YEAR(AugSun1+25)=CalendarYear,MONTH(AugSun1+25)=8),AugSun1+25,""),IF(AND(YEAR(AugSun1+32)=CalendarYear,MONTH(AugSun1+32)=8),AugSun1+32,""))</f>
        <v/>
      </c>
      <c r="J60" s="61" t="s">
        <v>29</v>
      </c>
      <c r="K60" s="56" t="str">
        <f>IF(DAY(AugSun1)=1,IF(AND(YEAR(AugSun1+26)=CalendarYear,MONTH(AugSun1+26)=8),AugSun1+26,""),IF(AND(YEAR(AugSun1+33)=CalendarYear,MONTH(AugSun1+33)=8),AugSun1+33,""))</f>
        <v/>
      </c>
      <c r="L60" s="61" t="s">
        <v>29</v>
      </c>
      <c r="M60" s="56" t="str">
        <f>IF(DAY(AugSun1)=1,IF(AND(YEAR(AugSun1+27)=CalendarYear,MONTH(AugSun1+27)=8),AugSun1+27,""),IF(AND(YEAR(AugSun1+34)=CalendarYear,MONTH(AugSun1+34)=8),AugSun1+34,""))</f>
        <v/>
      </c>
      <c r="N60" s="61" t="s">
        <v>29</v>
      </c>
      <c r="O60" s="56" t="str">
        <f>IF(DAY(AugSun1)=1,IF(AND(YEAR(AugSun1+28)=CalendarYear,MONTH(AugSun1+28)=8),AugSun1+28,""),IF(AND(YEAR(AugSun1+35)=CalendarYear,MONTH(AugSun1+35)=8),AugSun1+35,""))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IF(DAY(AugSun1)=1,IF(AND(YEAR(AugSun1+29)=CalendarYear,MONTH(AugSun1+29)=8),AugSun1+29,""),IF(AND(YEAR(AugSun1+36)=CalendarYear,MONTH(AugSun1+36)=8),AugSun1+36,""))</f>
        <v/>
      </c>
      <c r="D73" s="61" t="s">
        <v>29</v>
      </c>
      <c r="E73" s="55" t="str">
        <f>IF(DAY(AugSun1)=1,IF(AND(YEAR(AugSun1+30)=CalendarYear,MONTH(AugSun1+30)=8),AugSun1+30,""),IF(AND(YEAR(AugSun1+37)=CalendarYear,MONTH(AugSun1+37)=8),AugSun1+37,""))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299"/>
      <c r="H74" s="291"/>
      <c r="I74" s="291"/>
      <c r="J74" s="291"/>
      <c r="K74" s="291"/>
      <c r="L74" s="291"/>
      <c r="M74" s="291"/>
      <c r="N74" s="291"/>
      <c r="O74" s="291"/>
      <c r="P74" s="2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293"/>
      <c r="H75" s="294"/>
      <c r="I75" s="294"/>
      <c r="J75" s="294"/>
      <c r="K75" s="294"/>
      <c r="L75" s="294"/>
      <c r="M75" s="294"/>
      <c r="N75" s="294"/>
      <c r="O75" s="294"/>
      <c r="P75" s="2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293"/>
      <c r="H76" s="294"/>
      <c r="I76" s="294"/>
      <c r="J76" s="294"/>
      <c r="K76" s="294"/>
      <c r="L76" s="294"/>
      <c r="M76" s="294"/>
      <c r="N76" s="294"/>
      <c r="O76" s="294"/>
      <c r="P76" s="2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293"/>
      <c r="H77" s="294"/>
      <c r="I77" s="294"/>
      <c r="J77" s="294"/>
      <c r="K77" s="294"/>
      <c r="L77" s="294"/>
      <c r="M77" s="294"/>
      <c r="N77" s="294"/>
      <c r="O77" s="294"/>
      <c r="P77" s="2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293"/>
      <c r="H78" s="294"/>
      <c r="I78" s="294"/>
      <c r="J78" s="294"/>
      <c r="K78" s="294"/>
      <c r="L78" s="294"/>
      <c r="M78" s="294"/>
      <c r="N78" s="294"/>
      <c r="O78" s="294"/>
      <c r="P78" s="2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93"/>
      <c r="H79" s="294"/>
      <c r="I79" s="294"/>
      <c r="J79" s="294"/>
      <c r="K79" s="294"/>
      <c r="L79" s="294"/>
      <c r="M79" s="294"/>
      <c r="N79" s="294"/>
      <c r="O79" s="294"/>
      <c r="P79" s="2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293"/>
      <c r="H80" s="294"/>
      <c r="I80" s="294"/>
      <c r="J80" s="294"/>
      <c r="K80" s="294"/>
      <c r="L80" s="294"/>
      <c r="M80" s="294"/>
      <c r="N80" s="294"/>
      <c r="O80" s="294"/>
      <c r="P80" s="2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293"/>
      <c r="H81" s="294"/>
      <c r="I81" s="294"/>
      <c r="J81" s="294"/>
      <c r="K81" s="294"/>
      <c r="L81" s="294"/>
      <c r="M81" s="294"/>
      <c r="N81" s="294"/>
      <c r="O81" s="294"/>
      <c r="P81" s="2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293"/>
      <c r="H82" s="294"/>
      <c r="I82" s="294"/>
      <c r="J82" s="294"/>
      <c r="K82" s="294"/>
      <c r="L82" s="294"/>
      <c r="M82" s="294"/>
      <c r="N82" s="294"/>
      <c r="O82" s="294"/>
      <c r="P82" s="2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293"/>
      <c r="H83" s="294"/>
      <c r="I83" s="294"/>
      <c r="J83" s="294"/>
      <c r="K83" s="294"/>
      <c r="L83" s="294"/>
      <c r="M83" s="294"/>
      <c r="N83" s="294"/>
      <c r="O83" s="294"/>
      <c r="P83" s="2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93"/>
      <c r="H84" s="294"/>
      <c r="I84" s="294"/>
      <c r="J84" s="294"/>
      <c r="K84" s="294"/>
      <c r="L84" s="294"/>
      <c r="M84" s="294"/>
      <c r="N84" s="294"/>
      <c r="O84" s="294"/>
      <c r="P84" s="2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96"/>
      <c r="H85" s="297"/>
      <c r="I85" s="297"/>
      <c r="J85" s="297"/>
      <c r="K85" s="297"/>
      <c r="L85" s="297"/>
      <c r="M85" s="297"/>
      <c r="N85" s="297"/>
      <c r="O85" s="297"/>
      <c r="P85" s="298"/>
      <c r="Q85" s="22"/>
    </row>
    <row r="86" spans="1:17" ht="22.75" customHeight="1" x14ac:dyDescent="0.3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</row>
    <row r="87" spans="1:17" ht="22.75" customHeight="1" x14ac:dyDescent="0.3">
      <c r="A87" s="2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tabSelected="1" topLeftCell="A34" zoomScale="50" zoomScaleNormal="50" workbookViewId="0">
      <selection activeCell="G27" sqref="G27"/>
    </sheetView>
  </sheetViews>
  <sheetFormatPr defaultColWidth="6.69140625" defaultRowHeight="17.5" x14ac:dyDescent="0.35"/>
  <cols>
    <col min="1" max="1" width="5.53515625" style="200" customWidth="1"/>
    <col min="2" max="2" width="22.53515625" style="200" customWidth="1"/>
    <col min="3" max="3" width="31.921875" style="200" customWidth="1"/>
    <col min="4" max="4" width="7.4609375" style="201" customWidth="1"/>
    <col min="5" max="5" width="34.69140625" style="200" customWidth="1"/>
    <col min="6" max="6" width="7.4609375" style="201" customWidth="1"/>
    <col min="7" max="7" width="26.3828125" style="200" customWidth="1"/>
    <col min="8" max="8" width="7.4609375" style="201" customWidth="1"/>
    <col min="9" max="9" width="33.765625" style="200" customWidth="1"/>
    <col min="10" max="10" width="7.4609375" style="201" customWidth="1"/>
    <col min="11" max="11" width="26.84375" style="200" customWidth="1"/>
    <col min="12" max="12" width="7.4609375" style="201" customWidth="1"/>
    <col min="13" max="13" width="24.23046875" style="200" customWidth="1"/>
    <col min="14" max="14" width="7.4609375" style="201" customWidth="1"/>
    <col min="15" max="15" width="24.23046875" style="200" customWidth="1"/>
    <col min="16" max="16" width="7.4609375" style="201" customWidth="1"/>
    <col min="17" max="17" width="13.3046875" style="200" customWidth="1"/>
    <col min="18" max="18" width="31.3046875" style="200" customWidth="1"/>
    <col min="19" max="19" width="11.84375" style="200" customWidth="1"/>
    <col min="20" max="20" width="11.3046875" style="200" customWidth="1"/>
    <col min="21" max="16384" width="6.69140625" style="200"/>
  </cols>
  <sheetData>
    <row r="1" spans="1:88" ht="49.75" customHeight="1" x14ac:dyDescent="0.35">
      <c r="R1" s="202"/>
      <c r="S1" s="202"/>
    </row>
    <row r="2" spans="1:88" ht="13.75" customHeight="1" x14ac:dyDescent="0.35">
      <c r="R2" s="202"/>
      <c r="S2" s="202"/>
    </row>
    <row r="3" spans="1:88" ht="19.399999999999999" customHeight="1" x14ac:dyDescent="0.35">
      <c r="B3" s="203"/>
      <c r="R3" s="202"/>
      <c r="S3" s="202"/>
      <c r="BB3" s="203"/>
      <c r="BC3" s="203"/>
      <c r="BD3" s="203"/>
    </row>
    <row r="4" spans="1:88" ht="43.75" customHeight="1" x14ac:dyDescent="0.35">
      <c r="B4" s="312"/>
      <c r="C4" s="312"/>
      <c r="R4" s="202"/>
      <c r="S4" s="202"/>
      <c r="BB4" s="203"/>
      <c r="BC4" s="203"/>
      <c r="BD4" s="203"/>
      <c r="BK4" s="301"/>
      <c r="BL4" s="301"/>
      <c r="BM4" s="301"/>
      <c r="BN4" s="301"/>
      <c r="CH4" s="204"/>
    </row>
    <row r="5" spans="1:88" ht="30" customHeight="1" x14ac:dyDescent="0.35">
      <c r="B5" s="312"/>
      <c r="C5" s="312"/>
      <c r="D5" s="205"/>
      <c r="F5" s="205"/>
      <c r="H5" s="205"/>
      <c r="I5" s="203"/>
      <c r="J5" s="205"/>
      <c r="K5" s="203"/>
      <c r="L5" s="205"/>
      <c r="M5" s="203"/>
      <c r="N5" s="205"/>
      <c r="O5" s="203"/>
      <c r="P5" s="205"/>
      <c r="R5" s="206"/>
      <c r="S5" s="206"/>
      <c r="BB5" s="203"/>
      <c r="BC5" s="203"/>
      <c r="BD5" s="203"/>
      <c r="BH5" s="203"/>
      <c r="BI5" s="203"/>
      <c r="BJ5" s="203"/>
      <c r="BK5" s="301"/>
      <c r="BL5" s="301"/>
      <c r="BM5" s="301"/>
      <c r="BN5" s="301"/>
      <c r="BO5" s="203"/>
      <c r="BP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</row>
    <row r="6" spans="1:88" ht="48.65" customHeight="1" x14ac:dyDescent="0.35">
      <c r="F6" s="207"/>
      <c r="G6" s="274" t="s">
        <v>22</v>
      </c>
      <c r="H6" s="274"/>
      <c r="I6" s="122" t="str">
        <f>UPPER(TEXT(DATE(CalendarYear,1,1)," yyyy"))</f>
        <v xml:space="preserve"> 2022</v>
      </c>
      <c r="J6" s="242"/>
      <c r="K6" s="243" t="s">
        <v>171</v>
      </c>
      <c r="L6" s="207"/>
      <c r="N6" s="207"/>
      <c r="BO6" s="208"/>
      <c r="BP6" s="209"/>
      <c r="BR6" s="208"/>
      <c r="BS6" s="209"/>
      <c r="BT6" s="208"/>
      <c r="BU6" s="208"/>
      <c r="BV6" s="209"/>
      <c r="BW6" s="208"/>
      <c r="BX6" s="208"/>
      <c r="BY6" s="209"/>
      <c r="CA6" s="208"/>
      <c r="CB6" s="302"/>
      <c r="CC6" s="302"/>
      <c r="CD6" s="210"/>
      <c r="CE6" s="209"/>
    </row>
    <row r="7" spans="1:88" s="214" customFormat="1" ht="26.25" customHeight="1" x14ac:dyDescent="0.35">
      <c r="A7" s="200"/>
      <c r="B7" s="211"/>
      <c r="C7" s="212" t="s">
        <v>7</v>
      </c>
      <c r="D7" s="212"/>
      <c r="E7" s="212" t="s">
        <v>8</v>
      </c>
      <c r="F7" s="212"/>
      <c r="G7" s="212" t="s">
        <v>9</v>
      </c>
      <c r="H7" s="212"/>
      <c r="I7" s="212" t="s">
        <v>10</v>
      </c>
      <c r="J7" s="212"/>
      <c r="K7" s="212" t="s">
        <v>11</v>
      </c>
      <c r="L7" s="212"/>
      <c r="M7" s="212" t="s">
        <v>12</v>
      </c>
      <c r="N7" s="212"/>
      <c r="O7" s="212" t="s">
        <v>13</v>
      </c>
      <c r="P7" s="213"/>
      <c r="Q7" s="200"/>
      <c r="S7" s="200"/>
      <c r="T7" s="215"/>
      <c r="X7" s="200"/>
      <c r="Y7" s="200"/>
    </row>
    <row r="8" spans="1:88" s="216" customFormat="1" ht="18" customHeight="1" x14ac:dyDescent="0.3">
      <c r="B8" s="63"/>
      <c r="C8" s="217" t="str">
        <f>IF(DAY(SepSun1)=1,"",IF(AND(YEAR(SepSun1+1)=CalendarYear,MONTH(SepSun1+1)=9),SepSun1+1,""))</f>
        <v/>
      </c>
      <c r="D8" s="218"/>
      <c r="E8" s="217" t="str">
        <f>IF(DAY(SepSun1)=1,"",IF(AND(YEAR(SepSun1+2)=CalendarYear,MONTH(SepSun1+2)=9),SepSun1+2,""))</f>
        <v/>
      </c>
      <c r="F8" s="218"/>
      <c r="G8" s="219" t="str">
        <f>IF(DAY(SepSun1)=1,"",IF(AND(YEAR(SepSun1+3)=CalendarYear,MONTH(SepSun1+3)=9),SepSun1+3,""))</f>
        <v/>
      </c>
      <c r="H8" s="218"/>
      <c r="I8" s="219">
        <f>IF(DAY(SepSun1)=1,"",IF(AND(YEAR(SepSun1+4)=CalendarYear,MONTH(SepSun1+4)=9),SepSun1+4,""))</f>
        <v>44805</v>
      </c>
      <c r="J8" s="218"/>
      <c r="K8" s="219">
        <f>IF(DAY(SepSun1)=1,"",IF(AND(YEAR(SepSun1+5)=CalendarYear,MONTH(SepSun1+5)=9),SepSun1+5,""))</f>
        <v>44806</v>
      </c>
      <c r="L8" s="218"/>
      <c r="M8" s="219">
        <f>IF(DAY(SepSun1)=1,"",IF(AND(YEAR(SepSun1+6)=CalendarYear,MONTH(SepSun1+6)=9),SepSun1+6,""))</f>
        <v>44807</v>
      </c>
      <c r="N8" s="218"/>
      <c r="O8" s="219">
        <f>IF(DAY(SepSun1)=1,IF(AND(YEAR(SepSun1)=CalendarYear,MONTH(SepSun1)=9),SepSun1,""),IF(AND(YEAR(SepSun1+7)=CalendarYear,MONTH(SepSun1+7)=9),SepSun1+7,""))</f>
        <v>44808</v>
      </c>
      <c r="P8" s="218" t="s">
        <v>29</v>
      </c>
      <c r="Q8" s="220"/>
      <c r="T8" s="221"/>
      <c r="U8" s="222"/>
    </row>
    <row r="9" spans="1:88" s="223" customFormat="1" ht="17.5" customHeight="1" x14ac:dyDescent="0.45">
      <c r="B9" s="50" t="s">
        <v>1</v>
      </c>
      <c r="C9" s="74"/>
      <c r="D9" s="65"/>
      <c r="E9" s="74"/>
      <c r="F9" s="65"/>
      <c r="G9" s="64"/>
      <c r="H9" s="65"/>
      <c r="I9" s="64" t="s">
        <v>105</v>
      </c>
      <c r="J9" s="65"/>
      <c r="K9" s="64" t="s">
        <v>124</v>
      </c>
      <c r="L9" s="65"/>
      <c r="M9" s="241" t="s">
        <v>362</v>
      </c>
      <c r="N9" s="65"/>
      <c r="O9" s="64" t="s">
        <v>362</v>
      </c>
      <c r="P9" s="65"/>
      <c r="Q9" s="224"/>
    </row>
    <row r="10" spans="1:88" s="223" customFormat="1" ht="17.5" customHeight="1" x14ac:dyDescent="0.45">
      <c r="B10" s="50"/>
      <c r="C10" s="75"/>
      <c r="D10" s="67"/>
      <c r="E10" s="75"/>
      <c r="F10" s="67"/>
      <c r="G10" s="225"/>
      <c r="H10" s="67"/>
      <c r="I10" s="225"/>
      <c r="J10" s="67"/>
      <c r="K10" s="225"/>
      <c r="L10" s="67"/>
      <c r="M10" s="225"/>
      <c r="N10" s="67"/>
      <c r="O10" s="225"/>
      <c r="P10" s="67"/>
      <c r="Q10" s="224"/>
    </row>
    <row r="11" spans="1:88" s="223" customFormat="1" ht="17.5" customHeight="1" x14ac:dyDescent="0.45">
      <c r="B11" s="50" t="s">
        <v>3</v>
      </c>
      <c r="C11" s="75"/>
      <c r="D11" s="67"/>
      <c r="E11" s="75"/>
      <c r="F11" s="67"/>
      <c r="G11" s="225"/>
      <c r="H11" s="67"/>
      <c r="I11" s="225" t="s">
        <v>361</v>
      </c>
      <c r="J11" s="67"/>
      <c r="K11" s="225" t="s">
        <v>46</v>
      </c>
      <c r="L11" s="67"/>
      <c r="M11" s="225" t="s">
        <v>362</v>
      </c>
      <c r="N11" s="67"/>
      <c r="O11" s="225" t="s">
        <v>362</v>
      </c>
      <c r="P11" s="67"/>
      <c r="Q11" s="224"/>
    </row>
    <row r="12" spans="1:88" s="223" customFormat="1" ht="17.5" customHeight="1" x14ac:dyDescent="0.45">
      <c r="B12" s="50"/>
      <c r="C12" s="75"/>
      <c r="D12" s="67"/>
      <c r="E12" s="75"/>
      <c r="F12" s="67"/>
      <c r="G12" s="225"/>
      <c r="H12" s="67"/>
      <c r="I12" s="225"/>
      <c r="J12" s="67"/>
      <c r="K12" s="225"/>
      <c r="L12" s="67"/>
      <c r="M12" s="225"/>
      <c r="N12" s="67"/>
      <c r="O12" s="225"/>
      <c r="P12" s="67"/>
      <c r="Q12" s="224"/>
    </row>
    <row r="13" spans="1:88" s="223" customFormat="1" ht="17.5" customHeight="1" x14ac:dyDescent="0.45">
      <c r="B13" s="50" t="s">
        <v>4</v>
      </c>
      <c r="C13" s="75"/>
      <c r="D13" s="67"/>
      <c r="E13" s="75"/>
      <c r="F13" s="67"/>
      <c r="G13" s="225"/>
      <c r="H13" s="67"/>
      <c r="I13" s="225" t="s">
        <v>360</v>
      </c>
      <c r="J13" s="67"/>
      <c r="K13" s="225" t="s">
        <v>53</v>
      </c>
      <c r="L13" s="67"/>
      <c r="M13" s="225" t="s">
        <v>362</v>
      </c>
      <c r="N13" s="67"/>
      <c r="O13" s="225" t="s">
        <v>362</v>
      </c>
      <c r="P13" s="67"/>
      <c r="Q13" s="224"/>
    </row>
    <row r="14" spans="1:88" s="223" customFormat="1" ht="17.5" customHeight="1" x14ac:dyDescent="0.45">
      <c r="B14" s="50"/>
      <c r="C14" s="75"/>
      <c r="D14" s="67"/>
      <c r="E14" s="75"/>
      <c r="F14" s="67"/>
      <c r="G14" s="225"/>
      <c r="H14" s="67"/>
      <c r="I14" s="225"/>
      <c r="J14" s="67"/>
      <c r="K14" s="225"/>
      <c r="L14" s="67"/>
      <c r="M14" s="225"/>
      <c r="N14" s="67"/>
      <c r="O14" s="225"/>
      <c r="P14" s="67"/>
      <c r="Q14" s="224"/>
    </row>
    <row r="15" spans="1:88" s="223" customFormat="1" ht="17.5" customHeight="1" x14ac:dyDescent="0.45">
      <c r="B15" s="50" t="s">
        <v>30</v>
      </c>
      <c r="C15" s="75"/>
      <c r="D15" s="67"/>
      <c r="E15" s="75"/>
      <c r="F15" s="67"/>
      <c r="G15" s="225"/>
      <c r="H15" s="67"/>
      <c r="I15" s="225" t="s">
        <v>85</v>
      </c>
      <c r="J15" s="67"/>
      <c r="K15" s="225" t="s">
        <v>355</v>
      </c>
      <c r="L15" s="67"/>
      <c r="M15" s="225" t="s">
        <v>362</v>
      </c>
      <c r="N15" s="67"/>
      <c r="O15" s="225" t="s">
        <v>362</v>
      </c>
      <c r="P15" s="67"/>
      <c r="Q15" s="224"/>
    </row>
    <row r="16" spans="1:88" s="223" customFormat="1" ht="17.5" customHeight="1" x14ac:dyDescent="0.45">
      <c r="B16" s="50"/>
      <c r="C16" s="75"/>
      <c r="D16" s="67"/>
      <c r="E16" s="75"/>
      <c r="F16" s="67"/>
      <c r="G16" s="225"/>
      <c r="H16" s="67"/>
      <c r="I16" s="225"/>
      <c r="J16" s="67"/>
      <c r="K16" s="225"/>
      <c r="L16" s="67"/>
      <c r="M16" s="225"/>
      <c r="N16" s="67"/>
      <c r="O16" s="225"/>
      <c r="P16" s="67"/>
      <c r="Q16" s="224"/>
    </row>
    <row r="17" spans="2:21" s="223" customFormat="1" ht="17.5" customHeight="1" x14ac:dyDescent="0.45">
      <c r="B17" s="50" t="s">
        <v>6</v>
      </c>
      <c r="C17" s="75"/>
      <c r="D17" s="67"/>
      <c r="E17" s="75"/>
      <c r="F17" s="67"/>
      <c r="G17" s="225"/>
      <c r="H17" s="67"/>
      <c r="I17" s="225" t="s">
        <v>66</v>
      </c>
      <c r="J17" s="67"/>
      <c r="K17" s="225" t="s">
        <v>122</v>
      </c>
      <c r="L17" s="67"/>
      <c r="M17" s="225" t="s">
        <v>362</v>
      </c>
      <c r="N17" s="67"/>
      <c r="O17" s="225" t="s">
        <v>362</v>
      </c>
      <c r="P17" s="67"/>
      <c r="Q17" s="224"/>
    </row>
    <row r="18" spans="2:21" s="223" customFormat="1" ht="17.5" customHeight="1" x14ac:dyDescent="0.45">
      <c r="B18" s="50"/>
      <c r="C18" s="75"/>
      <c r="D18" s="67"/>
      <c r="E18" s="75"/>
      <c r="F18" s="67"/>
      <c r="G18" s="225"/>
      <c r="H18" s="67"/>
      <c r="I18" s="225"/>
      <c r="J18" s="67"/>
      <c r="K18" s="225"/>
      <c r="L18" s="67"/>
      <c r="M18" s="225"/>
      <c r="N18" s="67"/>
      <c r="O18" s="225"/>
      <c r="P18" s="67"/>
      <c r="Q18" s="224"/>
    </row>
    <row r="19" spans="2:21" s="223" customFormat="1" ht="17.5" customHeight="1" x14ac:dyDescent="0.45">
      <c r="B19" s="50"/>
      <c r="C19" s="75"/>
      <c r="D19" s="67"/>
      <c r="E19" s="75"/>
      <c r="F19" s="67"/>
      <c r="G19" s="225"/>
      <c r="H19" s="67"/>
      <c r="I19" s="225"/>
      <c r="J19" s="67"/>
      <c r="K19" s="225"/>
      <c r="L19" s="67"/>
      <c r="M19" s="225"/>
      <c r="N19" s="67"/>
      <c r="O19" s="225"/>
      <c r="P19" s="67"/>
      <c r="Q19" s="224"/>
    </row>
    <row r="20" spans="2:21" s="223" customFormat="1" ht="17.5" customHeight="1" x14ac:dyDescent="0.45">
      <c r="B20" s="62"/>
      <c r="C20" s="226"/>
      <c r="D20" s="227"/>
      <c r="E20" s="226"/>
      <c r="F20" s="227"/>
      <c r="G20" s="228"/>
      <c r="H20" s="227"/>
      <c r="I20" s="228"/>
      <c r="J20" s="227"/>
      <c r="K20" s="228"/>
      <c r="L20" s="227"/>
      <c r="M20" s="228"/>
      <c r="N20" s="227"/>
      <c r="O20" s="228"/>
      <c r="P20" s="227"/>
      <c r="Q20" s="224"/>
    </row>
    <row r="21" spans="2:21" s="216" customFormat="1" ht="18" customHeight="1" x14ac:dyDescent="0.3">
      <c r="B21" s="63"/>
      <c r="C21" s="217">
        <f>IF(DAY(SepSun1)=1,IF(AND(YEAR(SepSun1+1)=CalendarYear,MONTH(SepSun1+1)=9),SepSun1+1,""),IF(AND(YEAR(SepSun1+8)=CalendarYear,MONTH(SepSun1+8)=9),SepSun1+8,""))</f>
        <v>44809</v>
      </c>
      <c r="D21" s="218"/>
      <c r="E21" s="217">
        <f>IF(DAY(SepSun1)=1,IF(AND(YEAR(SepSun1+2)=CalendarYear,MONTH(SepSun1+2)=9),SepSun1+2,""),IF(AND(YEAR(SepSun1+9)=CalendarYear,MONTH(SepSun1+9)=9),SepSun1+9,""))</f>
        <v>44810</v>
      </c>
      <c r="F21" s="218"/>
      <c r="G21" s="219">
        <f>IF(DAY(SepSun1)=1,IF(AND(YEAR(SepSun1+3)=CalendarYear,MONTH(SepSun1+3)=9),SepSun1+3,""),IF(AND(YEAR(SepSun1+10)=CalendarYear,MONTH(SepSun1+10)=9),SepSun1+10,""))</f>
        <v>44811</v>
      </c>
      <c r="H21" s="218"/>
      <c r="I21" s="219">
        <f>IF(DAY(SepSun1)=1,IF(AND(YEAR(SepSun1+4)=CalendarYear,MONTH(SepSun1+4)=9),SepSun1+4,""),IF(AND(YEAR(SepSun1+11)=CalendarYear,MONTH(SepSun1+11)=9),SepSun1+11,""))</f>
        <v>44812</v>
      </c>
      <c r="J21" s="218"/>
      <c r="K21" s="219">
        <f>IF(DAY(SepSun1)=1,IF(AND(YEAR(SepSun1+5)=CalendarYear,MONTH(SepSun1+5)=9),SepSun1+5,""),IF(AND(YEAR(SepSun1+12)=CalendarYear,MONTH(SepSun1+12)=9),SepSun1+12,""))</f>
        <v>44813</v>
      </c>
      <c r="L21" s="218"/>
      <c r="M21" s="219">
        <f>IF(DAY(SepSun1)=1,IF(AND(YEAR(SepSun1+6)=CalendarYear,MONTH(SepSun1+6)=9),SepSun1+6,""),IF(AND(YEAR(SepSun1+13)=CalendarYear,MONTH(SepSun1+13)=9),SepSun1+13,""))</f>
        <v>44814</v>
      </c>
      <c r="N21" s="218"/>
      <c r="O21" s="219">
        <f>IF(DAY(SepSun1)=1,IF(AND(YEAR(SepSun1+7)=CalendarYear,MONTH(SepSun1+7)=9),SepSun1+7,""),IF(AND(YEAR(SepSun1+14)=CalendarYear,MONTH(SepSun1+14)=9),SepSun1+14,""))</f>
        <v>44815</v>
      </c>
      <c r="P21" s="218" t="s">
        <v>29</v>
      </c>
      <c r="Q21" s="220"/>
      <c r="T21" s="221"/>
      <c r="U21" s="222"/>
    </row>
    <row r="22" spans="2:21" s="223" customFormat="1" ht="17.5" customHeight="1" x14ac:dyDescent="0.45">
      <c r="B22" s="50" t="s">
        <v>1</v>
      </c>
      <c r="C22" s="68" t="s">
        <v>44</v>
      </c>
      <c r="D22" s="69"/>
      <c r="E22" s="68" t="s">
        <v>42</v>
      </c>
      <c r="F22" s="69"/>
      <c r="G22" s="70" t="s">
        <v>258</v>
      </c>
      <c r="H22" s="69"/>
      <c r="I22" s="70" t="s">
        <v>31</v>
      </c>
      <c r="J22" s="69"/>
      <c r="K22" s="70" t="s">
        <v>308</v>
      </c>
      <c r="L22" s="69"/>
      <c r="M22" s="70" t="s">
        <v>362</v>
      </c>
      <c r="N22" s="69"/>
      <c r="O22" s="70" t="s">
        <v>362</v>
      </c>
      <c r="P22" s="69"/>
      <c r="Q22" s="224"/>
    </row>
    <row r="23" spans="2:21" s="223" customFormat="1" ht="17.5" customHeight="1" x14ac:dyDescent="0.45">
      <c r="B23" s="50"/>
      <c r="C23" s="71"/>
      <c r="D23" s="72"/>
      <c r="E23" s="71"/>
      <c r="F23" s="72"/>
      <c r="G23" s="229"/>
      <c r="H23" s="72"/>
      <c r="I23" s="229"/>
      <c r="J23" s="72"/>
      <c r="K23" s="229"/>
      <c r="L23" s="72"/>
      <c r="M23" s="229"/>
      <c r="N23" s="72"/>
      <c r="O23" s="229"/>
      <c r="P23" s="72"/>
      <c r="Q23" s="224"/>
    </row>
    <row r="24" spans="2:21" s="223" customFormat="1" ht="17.5" customHeight="1" x14ac:dyDescent="0.45">
      <c r="B24" s="50" t="s">
        <v>3</v>
      </c>
      <c r="C24" s="71" t="s">
        <v>363</v>
      </c>
      <c r="D24" s="72"/>
      <c r="E24" s="71" t="s">
        <v>382</v>
      </c>
      <c r="F24" s="72"/>
      <c r="G24" s="229" t="s">
        <v>339</v>
      </c>
      <c r="H24" s="72"/>
      <c r="I24" s="229" t="s">
        <v>283</v>
      </c>
      <c r="J24" s="72"/>
      <c r="K24" s="229" t="s">
        <v>364</v>
      </c>
      <c r="L24" s="72"/>
      <c r="M24" s="229" t="s">
        <v>362</v>
      </c>
      <c r="N24" s="72"/>
      <c r="O24" s="229" t="s">
        <v>362</v>
      </c>
      <c r="P24" s="72"/>
      <c r="Q24" s="224"/>
    </row>
    <row r="25" spans="2:21" s="223" customFormat="1" ht="17.5" customHeight="1" x14ac:dyDescent="0.45">
      <c r="B25" s="50"/>
      <c r="C25" s="71"/>
      <c r="D25" s="72"/>
      <c r="E25" s="71"/>
      <c r="F25" s="72"/>
      <c r="G25" s="229"/>
      <c r="H25" s="72"/>
      <c r="I25" s="229"/>
      <c r="J25" s="72"/>
      <c r="K25" s="229"/>
      <c r="L25" s="72"/>
      <c r="M25" s="229"/>
      <c r="N25" s="72"/>
      <c r="O25" s="229"/>
      <c r="P25" s="72"/>
      <c r="Q25" s="224"/>
    </row>
    <row r="26" spans="2:21" s="223" customFormat="1" ht="17.5" customHeight="1" x14ac:dyDescent="0.45">
      <c r="B26" s="50" t="s">
        <v>4</v>
      </c>
      <c r="C26" s="71" t="s">
        <v>309</v>
      </c>
      <c r="D26" s="72"/>
      <c r="E26" s="71" t="s">
        <v>145</v>
      </c>
      <c r="F26" s="72"/>
      <c r="G26" s="229" t="s">
        <v>398</v>
      </c>
      <c r="H26" s="72"/>
      <c r="I26" s="229" t="s">
        <v>180</v>
      </c>
      <c r="J26" s="72"/>
      <c r="K26" s="229" t="s">
        <v>309</v>
      </c>
      <c r="L26" s="72"/>
      <c r="M26" s="229" t="s">
        <v>362</v>
      </c>
      <c r="N26" s="72"/>
      <c r="O26" s="229" t="s">
        <v>362</v>
      </c>
      <c r="P26" s="72"/>
      <c r="Q26" s="224"/>
    </row>
    <row r="27" spans="2:21" s="223" customFormat="1" ht="17.5" customHeight="1" x14ac:dyDescent="0.45">
      <c r="B27" s="50"/>
      <c r="C27" s="71"/>
      <c r="D27" s="72"/>
      <c r="E27" s="71"/>
      <c r="F27" s="72"/>
      <c r="G27" s="229"/>
      <c r="H27" s="72"/>
      <c r="I27" s="229"/>
      <c r="J27" s="72"/>
      <c r="K27" s="229"/>
      <c r="L27" s="72"/>
      <c r="M27" s="229"/>
      <c r="N27" s="72"/>
      <c r="O27" s="229"/>
      <c r="P27" s="72"/>
      <c r="Q27" s="224"/>
    </row>
    <row r="28" spans="2:21" s="223" customFormat="1" ht="17.5" customHeight="1" x14ac:dyDescent="0.45">
      <c r="B28" s="50" t="s">
        <v>30</v>
      </c>
      <c r="C28" s="71" t="s">
        <v>38</v>
      </c>
      <c r="D28" s="72"/>
      <c r="E28" s="71" t="s">
        <v>85</v>
      </c>
      <c r="F28" s="72"/>
      <c r="G28" s="229" t="s">
        <v>289</v>
      </c>
      <c r="H28" s="72"/>
      <c r="I28" s="229" t="s">
        <v>38</v>
      </c>
      <c r="J28" s="72"/>
      <c r="K28" s="229" t="s">
        <v>365</v>
      </c>
      <c r="L28" s="72"/>
      <c r="M28" s="229" t="s">
        <v>362</v>
      </c>
      <c r="N28" s="72"/>
      <c r="O28" s="229" t="s">
        <v>362</v>
      </c>
      <c r="P28" s="72"/>
      <c r="Q28" s="224"/>
    </row>
    <row r="29" spans="2:21" s="223" customFormat="1" ht="17.5" customHeight="1" x14ac:dyDescent="0.45">
      <c r="B29" s="50"/>
      <c r="C29" s="71"/>
      <c r="D29" s="72"/>
      <c r="E29" s="71"/>
      <c r="F29" s="72"/>
      <c r="G29" s="229"/>
      <c r="H29" s="72"/>
      <c r="I29" s="229"/>
      <c r="J29" s="72"/>
      <c r="K29" s="229"/>
      <c r="L29" s="72"/>
      <c r="M29" s="229"/>
      <c r="N29" s="72"/>
      <c r="O29" s="229"/>
      <c r="P29" s="72"/>
      <c r="Q29" s="224"/>
    </row>
    <row r="30" spans="2:21" s="223" customFormat="1" ht="17.5" customHeight="1" x14ac:dyDescent="0.45">
      <c r="B30" s="50" t="s">
        <v>6</v>
      </c>
      <c r="C30" s="71" t="s">
        <v>120</v>
      </c>
      <c r="D30" s="72"/>
      <c r="E30" s="71" t="s">
        <v>66</v>
      </c>
      <c r="F30" s="72"/>
      <c r="G30" s="229" t="s">
        <v>119</v>
      </c>
      <c r="H30" s="72"/>
      <c r="I30" s="229" t="s">
        <v>122</v>
      </c>
      <c r="J30" s="72"/>
      <c r="K30" s="229" t="s">
        <v>66</v>
      </c>
      <c r="L30" s="72"/>
      <c r="M30" s="229" t="s">
        <v>362</v>
      </c>
      <c r="N30" s="72"/>
      <c r="O30" s="229" t="s">
        <v>362</v>
      </c>
      <c r="P30" s="72"/>
      <c r="Q30" s="224"/>
    </row>
    <row r="31" spans="2:21" s="223" customFormat="1" ht="17.5" customHeight="1" x14ac:dyDescent="0.45">
      <c r="B31" s="50"/>
      <c r="C31" s="71"/>
      <c r="D31" s="72"/>
      <c r="E31" s="71"/>
      <c r="F31" s="72"/>
      <c r="G31" s="229"/>
      <c r="H31" s="72"/>
      <c r="I31" s="229"/>
      <c r="J31" s="72"/>
      <c r="K31" s="229"/>
      <c r="L31" s="72"/>
      <c r="M31" s="229"/>
      <c r="N31" s="72"/>
      <c r="O31" s="229"/>
      <c r="P31" s="72"/>
      <c r="Q31" s="224"/>
    </row>
    <row r="32" spans="2:21" s="223" customFormat="1" ht="17.5" customHeight="1" x14ac:dyDescent="0.45">
      <c r="B32" s="50"/>
      <c r="C32" s="71"/>
      <c r="D32" s="72"/>
      <c r="E32" s="71"/>
      <c r="F32" s="72"/>
      <c r="G32" s="229"/>
      <c r="H32" s="72"/>
      <c r="I32" s="229"/>
      <c r="J32" s="72"/>
      <c r="K32" s="229"/>
      <c r="L32" s="72"/>
      <c r="M32" s="229"/>
      <c r="N32" s="72"/>
      <c r="O32" s="229"/>
      <c r="P32" s="72"/>
      <c r="Q32" s="224"/>
    </row>
    <row r="33" spans="2:21" s="223" customFormat="1" ht="17.5" customHeight="1" x14ac:dyDescent="0.45">
      <c r="B33" s="62"/>
      <c r="C33" s="230"/>
      <c r="D33" s="231"/>
      <c r="E33" s="230"/>
      <c r="F33" s="231"/>
      <c r="G33" s="232"/>
      <c r="H33" s="231"/>
      <c r="I33" s="232"/>
      <c r="J33" s="231"/>
      <c r="K33" s="232"/>
      <c r="L33" s="231"/>
      <c r="M33" s="232"/>
      <c r="N33" s="231"/>
      <c r="O33" s="232"/>
      <c r="P33" s="231"/>
      <c r="Q33" s="224"/>
    </row>
    <row r="34" spans="2:21" s="216" customFormat="1" ht="18" customHeight="1" x14ac:dyDescent="0.3">
      <c r="B34" s="63"/>
      <c r="C34" s="217">
        <f>IF(DAY(SepSun1)=1,IF(AND(YEAR(SepSun1+8)=CalendarYear,MONTH(SepSun1+8)=9),SepSun1+8,""),IF(AND(YEAR(SepSun1+15)=CalendarYear,MONTH(SepSun1+15)=9),SepSun1+15,""))</f>
        <v>44816</v>
      </c>
      <c r="D34" s="218"/>
      <c r="E34" s="217">
        <f>IF(DAY(SepSun1)=1,IF(AND(YEAR(SepSun1+9)=CalendarYear,MONTH(SepSun1+9)=9),SepSun1+9,""),IF(AND(YEAR(SepSun1+16)=CalendarYear,MONTH(SepSun1+16)=9),SepSun1+16,""))</f>
        <v>44817</v>
      </c>
      <c r="F34" s="218"/>
      <c r="G34" s="219">
        <f>IF(DAY(SepSun1)=1,IF(AND(YEAR(SepSun1+10)=CalendarYear,MONTH(SepSun1+10)=9),SepSun1+10,""),IF(AND(YEAR(SepSun1+17)=CalendarYear,MONTH(SepSun1+17)=9),SepSun1+17,""))</f>
        <v>44818</v>
      </c>
      <c r="H34" s="218"/>
      <c r="I34" s="219">
        <f>IF(DAY(SepSun1)=1,IF(AND(YEAR(SepSun1+11)=CalendarYear,MONTH(SepSun1+11)=9),SepSun1+11,""),IF(AND(YEAR(SepSun1+18)=CalendarYear,MONTH(SepSun1+18)=9),SepSun1+18,""))</f>
        <v>44819</v>
      </c>
      <c r="J34" s="218"/>
      <c r="K34" s="219">
        <f>IF(DAY(SepSun1)=1,IF(AND(YEAR(SepSun1+12)=CalendarYear,MONTH(SepSun1+12)=9),SepSun1+12,""),IF(AND(YEAR(SepSun1+19)=CalendarYear,MONTH(SepSun1+19)=9),SepSun1+19,""))</f>
        <v>44820</v>
      </c>
      <c r="L34" s="218"/>
      <c r="M34" s="219">
        <f>IF(DAY(SepSun1)=1,IF(AND(YEAR(SepSun1+13)=CalendarYear,MONTH(SepSun1+13)=9),SepSun1+13,""),IF(AND(YEAR(SepSun1+20)=CalendarYear,MONTH(SepSun1+20)=9),SepSun1+20,""))</f>
        <v>44821</v>
      </c>
      <c r="N34" s="218"/>
      <c r="O34" s="219">
        <f>IF(DAY(SepSun1)=1,IF(AND(YEAR(SepSun1+14)=CalendarYear,MONTH(SepSun1+14)=9),SepSun1+14,""),IF(AND(YEAR(SepSun1+21)=CalendarYear,MONTH(SepSun1+21)=9),SepSun1+21,""))</f>
        <v>44822</v>
      </c>
      <c r="P34" s="218" t="s">
        <v>29</v>
      </c>
      <c r="Q34" s="220"/>
      <c r="T34" s="221"/>
      <c r="U34" s="222"/>
    </row>
    <row r="35" spans="2:21" s="223" customFormat="1" ht="17.5" customHeight="1" x14ac:dyDescent="0.45">
      <c r="B35" s="50" t="s">
        <v>1</v>
      </c>
      <c r="C35" s="74" t="s">
        <v>67</v>
      </c>
      <c r="D35" s="65"/>
      <c r="E35" s="74" t="s">
        <v>44</v>
      </c>
      <c r="F35" s="65"/>
      <c r="G35" s="64" t="s">
        <v>124</v>
      </c>
      <c r="H35" s="65"/>
      <c r="I35" s="64" t="s">
        <v>42</v>
      </c>
      <c r="J35" s="65"/>
      <c r="K35" s="64" t="s">
        <v>258</v>
      </c>
      <c r="L35" s="65"/>
      <c r="M35" s="241" t="s">
        <v>362</v>
      </c>
      <c r="N35" s="65"/>
      <c r="O35" s="241" t="s">
        <v>362</v>
      </c>
      <c r="P35" s="65"/>
      <c r="Q35" s="224"/>
    </row>
    <row r="36" spans="2:21" s="223" customFormat="1" ht="17.5" customHeight="1" x14ac:dyDescent="0.45">
      <c r="B36" s="50"/>
      <c r="C36" s="75"/>
      <c r="D36" s="67"/>
      <c r="E36" s="75"/>
      <c r="F36" s="67"/>
      <c r="G36" s="225"/>
      <c r="H36" s="67"/>
      <c r="I36" s="225"/>
      <c r="J36" s="67"/>
      <c r="K36" s="225"/>
      <c r="L36" s="67"/>
      <c r="M36" s="225"/>
      <c r="N36" s="67"/>
      <c r="O36" s="225"/>
      <c r="P36" s="67"/>
      <c r="Q36" s="224"/>
    </row>
    <row r="37" spans="2:21" s="223" customFormat="1" ht="17.5" customHeight="1" x14ac:dyDescent="0.45">
      <c r="B37" s="50" t="s">
        <v>3</v>
      </c>
      <c r="C37" s="75" t="s">
        <v>167</v>
      </c>
      <c r="D37" s="67"/>
      <c r="E37" s="75" t="s">
        <v>290</v>
      </c>
      <c r="F37" s="67"/>
      <c r="G37" s="225" t="s">
        <v>369</v>
      </c>
      <c r="H37" s="67"/>
      <c r="I37" s="225" t="s">
        <v>374</v>
      </c>
      <c r="J37" s="67"/>
      <c r="K37" s="225" t="s">
        <v>381</v>
      </c>
      <c r="L37" s="67"/>
      <c r="M37" s="225" t="s">
        <v>362</v>
      </c>
      <c r="N37" s="67"/>
      <c r="O37" s="225" t="s">
        <v>362</v>
      </c>
      <c r="P37" s="67"/>
      <c r="Q37" s="224"/>
    </row>
    <row r="38" spans="2:21" s="223" customFormat="1" ht="17.5" customHeight="1" x14ac:dyDescent="0.45">
      <c r="B38" s="50"/>
      <c r="C38" s="75"/>
      <c r="D38" s="67"/>
      <c r="E38" s="75"/>
      <c r="F38" s="67"/>
      <c r="G38" s="225"/>
      <c r="H38" s="67"/>
      <c r="I38" s="225"/>
      <c r="J38" s="67"/>
      <c r="K38" s="225"/>
      <c r="L38" s="67"/>
      <c r="M38" s="225"/>
      <c r="N38" s="67"/>
      <c r="O38" s="225"/>
      <c r="P38" s="67"/>
      <c r="Q38" s="224"/>
    </row>
    <row r="39" spans="2:21" s="223" customFormat="1" ht="17.5" customHeight="1" x14ac:dyDescent="0.45">
      <c r="B39" s="50" t="s">
        <v>4</v>
      </c>
      <c r="C39" s="75" t="s">
        <v>77</v>
      </c>
      <c r="D39" s="67"/>
      <c r="E39" s="75" t="s">
        <v>360</v>
      </c>
      <c r="F39" s="67"/>
      <c r="G39" s="225" t="s">
        <v>309</v>
      </c>
      <c r="H39" s="67"/>
      <c r="I39" s="225" t="s">
        <v>96</v>
      </c>
      <c r="J39" s="67"/>
      <c r="K39" s="225" t="s">
        <v>309</v>
      </c>
      <c r="L39" s="67"/>
      <c r="M39" s="225" t="s">
        <v>362</v>
      </c>
      <c r="N39" s="67"/>
      <c r="O39" s="225" t="s">
        <v>362</v>
      </c>
      <c r="P39" s="67"/>
      <c r="Q39" s="224"/>
    </row>
    <row r="40" spans="2:21" s="223" customFormat="1" ht="17.5" customHeight="1" x14ac:dyDescent="0.45">
      <c r="B40" s="50"/>
      <c r="C40" s="75"/>
      <c r="D40" s="67"/>
      <c r="E40" s="75"/>
      <c r="F40" s="67"/>
      <c r="G40" s="225"/>
      <c r="H40" s="67"/>
      <c r="I40" s="225"/>
      <c r="J40" s="67"/>
      <c r="K40" s="225"/>
      <c r="L40" s="67"/>
      <c r="M40" s="225"/>
      <c r="N40" s="67"/>
      <c r="O40" s="225"/>
      <c r="P40" s="67"/>
      <c r="Q40" s="224"/>
    </row>
    <row r="41" spans="2:21" s="223" customFormat="1" ht="17.5" customHeight="1" x14ac:dyDescent="0.45">
      <c r="B41" s="50" t="s">
        <v>30</v>
      </c>
      <c r="C41" s="75" t="s">
        <v>38</v>
      </c>
      <c r="D41" s="67"/>
      <c r="E41" s="75" t="s">
        <v>57</v>
      </c>
      <c r="F41" s="67"/>
      <c r="G41" s="225" t="s">
        <v>289</v>
      </c>
      <c r="H41" s="67"/>
      <c r="I41" s="225" t="s">
        <v>85</v>
      </c>
      <c r="J41" s="67"/>
      <c r="K41" s="225" t="s">
        <v>321</v>
      </c>
      <c r="L41" s="67"/>
      <c r="M41" s="225" t="s">
        <v>362</v>
      </c>
      <c r="N41" s="67"/>
      <c r="O41" s="225" t="s">
        <v>362</v>
      </c>
      <c r="P41" s="67"/>
      <c r="Q41" s="224"/>
    </row>
    <row r="42" spans="2:21" s="223" customFormat="1" ht="17.5" customHeight="1" x14ac:dyDescent="0.45">
      <c r="B42" s="50"/>
      <c r="C42" s="75"/>
      <c r="D42" s="67"/>
      <c r="E42" s="75"/>
      <c r="F42" s="67"/>
      <c r="G42" s="225"/>
      <c r="H42" s="67"/>
      <c r="I42" s="225"/>
      <c r="J42" s="67"/>
      <c r="K42" s="225"/>
      <c r="L42" s="67"/>
      <c r="M42" s="225"/>
      <c r="N42" s="67"/>
      <c r="O42" s="225"/>
      <c r="P42" s="67"/>
      <c r="Q42" s="224"/>
    </row>
    <row r="43" spans="2:21" s="223" customFormat="1" ht="17.5" customHeight="1" x14ac:dyDescent="0.45">
      <c r="B43" s="50" t="s">
        <v>6</v>
      </c>
      <c r="C43" s="75" t="s">
        <v>168</v>
      </c>
      <c r="D43" s="67"/>
      <c r="E43" s="75" t="s">
        <v>183</v>
      </c>
      <c r="F43" s="67"/>
      <c r="G43" s="225" t="s">
        <v>370</v>
      </c>
      <c r="H43" s="67"/>
      <c r="I43" s="225" t="s">
        <v>372</v>
      </c>
      <c r="J43" s="67"/>
      <c r="K43" s="225" t="s">
        <v>378</v>
      </c>
      <c r="L43" s="67"/>
      <c r="M43" s="225" t="s">
        <v>362</v>
      </c>
      <c r="N43" s="67"/>
      <c r="O43" s="225" t="s">
        <v>362</v>
      </c>
      <c r="P43" s="67"/>
      <c r="Q43" s="224"/>
    </row>
    <row r="44" spans="2:21" s="223" customFormat="1" ht="17.5" customHeight="1" x14ac:dyDescent="0.45">
      <c r="B44" s="50"/>
      <c r="C44" s="75" t="s">
        <v>324</v>
      </c>
      <c r="D44" s="67"/>
      <c r="E44" s="75" t="s">
        <v>366</v>
      </c>
      <c r="F44" s="67"/>
      <c r="G44" s="225" t="s">
        <v>373</v>
      </c>
      <c r="H44" s="67"/>
      <c r="I44" s="225" t="s">
        <v>367</v>
      </c>
      <c r="J44" s="67"/>
      <c r="K44" s="225" t="s">
        <v>379</v>
      </c>
      <c r="L44" s="67"/>
      <c r="M44" s="225"/>
      <c r="N44" s="67"/>
      <c r="O44" s="225"/>
      <c r="P44" s="67"/>
      <c r="Q44" s="224"/>
    </row>
    <row r="45" spans="2:21" s="223" customFormat="1" ht="17.5" customHeight="1" x14ac:dyDescent="0.45">
      <c r="B45" s="50"/>
      <c r="C45" s="75" t="s">
        <v>379</v>
      </c>
      <c r="D45" s="67"/>
      <c r="E45" s="75" t="s">
        <v>367</v>
      </c>
      <c r="F45" s="67"/>
      <c r="G45" s="225" t="s">
        <v>371</v>
      </c>
      <c r="H45" s="67"/>
      <c r="I45" s="225" t="s">
        <v>375</v>
      </c>
      <c r="J45" s="67"/>
      <c r="K45" s="225" t="s">
        <v>380</v>
      </c>
      <c r="L45" s="67"/>
      <c r="M45" s="225"/>
      <c r="N45" s="67"/>
      <c r="O45" s="225"/>
      <c r="P45" s="67"/>
      <c r="Q45" s="224"/>
    </row>
    <row r="46" spans="2:21" s="223" customFormat="1" ht="17.5" customHeight="1" x14ac:dyDescent="0.45">
      <c r="B46" s="62"/>
      <c r="C46" s="226" t="s">
        <v>380</v>
      </c>
      <c r="D46" s="227"/>
      <c r="E46" s="226" t="s">
        <v>368</v>
      </c>
      <c r="F46" s="227"/>
      <c r="G46" s="228" t="s">
        <v>39</v>
      </c>
      <c r="H46" s="227"/>
      <c r="I46" s="228" t="s">
        <v>376</v>
      </c>
      <c r="J46" s="227"/>
      <c r="K46" s="228" t="s">
        <v>377</v>
      </c>
      <c r="L46" s="227"/>
      <c r="M46" s="228"/>
      <c r="N46" s="227"/>
      <c r="O46" s="228"/>
      <c r="P46" s="227"/>
      <c r="Q46" s="224"/>
    </row>
    <row r="47" spans="2:21" s="216" customFormat="1" ht="18" customHeight="1" x14ac:dyDescent="0.3">
      <c r="B47" s="63"/>
      <c r="C47" s="217">
        <f>IF(DAY(SepSun1)=1,IF(AND(YEAR(SepSun1+15)=CalendarYear,MONTH(SepSun1+15)=9),SepSun1+15,""),IF(AND(YEAR(SepSun1+22)=CalendarYear,MONTH(SepSun1+22)=9),SepSun1+22,""))</f>
        <v>44823</v>
      </c>
      <c r="D47" s="218"/>
      <c r="E47" s="217">
        <f>IF(DAY(SepSun1)=1,IF(AND(YEAR(SepSun1+16)=CalendarYear,MONTH(SepSun1+16)=9),SepSun1+16,""),IF(AND(YEAR(SepSun1+23)=CalendarYear,MONTH(SepSun1+23)=9),SepSun1+23,""))</f>
        <v>44824</v>
      </c>
      <c r="F47" s="218"/>
      <c r="G47" s="219">
        <f>IF(DAY(SepSun1)=1,IF(AND(YEAR(SepSun1+17)=CalendarYear,MONTH(SepSun1+17)=9),SepSun1+17,""),IF(AND(YEAR(SepSun1+24)=CalendarYear,MONTH(SepSun1+24)=9),SepSun1+24,""))</f>
        <v>44825</v>
      </c>
      <c r="H47" s="218"/>
      <c r="I47" s="219">
        <f>IF(DAY(SepSun1)=1,IF(AND(YEAR(SepSun1+18)=CalendarYear,MONTH(SepSun1+18)=9),SepSun1+18,""),IF(AND(YEAR(SepSun1+25)=CalendarYear,MONTH(SepSun1+25)=9),SepSun1+25,""))</f>
        <v>44826</v>
      </c>
      <c r="J47" s="218"/>
      <c r="K47" s="219">
        <f>IF(DAY(SepSun1)=1,IF(AND(YEAR(SepSun1+19)=CalendarYear,MONTH(SepSun1+19)=9),SepSun1+19,""),IF(AND(YEAR(SepSun1+26)=CalendarYear,MONTH(SepSun1+26)=9),SepSun1+26,""))</f>
        <v>44827</v>
      </c>
      <c r="L47" s="218"/>
      <c r="M47" s="219">
        <f>IF(DAY(SepSun1)=1,IF(AND(YEAR(SepSun1+20)=CalendarYear,MONTH(SepSun1+20)=9),SepSun1+20,""),IF(AND(YEAR(SepSun1+27)=CalendarYear,MONTH(SepSun1+27)=9),SepSun1+27,""))</f>
        <v>44828</v>
      </c>
      <c r="N47" s="218"/>
      <c r="O47" s="219">
        <f>IF(DAY(SepSun1)=1,IF(AND(YEAR(SepSun1+21)=CalendarYear,MONTH(SepSun1+21)=9),SepSun1+21,""),IF(AND(YEAR(SepSun1+28)=CalendarYear,MONTH(SepSun1+28)=9),SepSun1+28,""))</f>
        <v>44829</v>
      </c>
      <c r="P47" s="218" t="s">
        <v>29</v>
      </c>
      <c r="Q47" s="220"/>
      <c r="T47" s="221"/>
      <c r="U47" s="222"/>
    </row>
    <row r="48" spans="2:21" s="223" customFormat="1" ht="17.5" customHeight="1" x14ac:dyDescent="0.45">
      <c r="B48" s="50" t="s">
        <v>1</v>
      </c>
      <c r="C48" s="68" t="s">
        <v>31</v>
      </c>
      <c r="D48" s="69"/>
      <c r="E48" s="68" t="s">
        <v>385</v>
      </c>
      <c r="F48" s="69"/>
      <c r="G48" s="70" t="s">
        <v>308</v>
      </c>
      <c r="H48" s="69"/>
      <c r="I48" s="70" t="s">
        <v>45</v>
      </c>
      <c r="J48" s="69"/>
      <c r="K48" s="70" t="s">
        <v>161</v>
      </c>
      <c r="L48" s="69"/>
      <c r="M48" s="70" t="s">
        <v>362</v>
      </c>
      <c r="N48" s="69"/>
      <c r="O48" s="70" t="s">
        <v>362</v>
      </c>
      <c r="P48" s="69"/>
      <c r="Q48" s="224"/>
    </row>
    <row r="49" spans="2:21" s="223" customFormat="1" ht="17.5" customHeight="1" x14ac:dyDescent="0.45">
      <c r="B49" s="50"/>
      <c r="C49" s="71"/>
      <c r="D49" s="72"/>
      <c r="E49" s="71"/>
      <c r="F49" s="72"/>
      <c r="G49" s="229"/>
      <c r="H49" s="72"/>
      <c r="I49" s="229"/>
      <c r="J49" s="72"/>
      <c r="K49" s="229"/>
      <c r="L49" s="72"/>
      <c r="M49" s="229"/>
      <c r="N49" s="72"/>
      <c r="O49" s="229"/>
      <c r="P49" s="72"/>
      <c r="Q49" s="224"/>
    </row>
    <row r="50" spans="2:21" s="223" customFormat="1" ht="17.5" customHeight="1" x14ac:dyDescent="0.45">
      <c r="B50" s="50" t="s">
        <v>3</v>
      </c>
      <c r="C50" s="71" t="s">
        <v>293</v>
      </c>
      <c r="D50" s="72"/>
      <c r="E50" s="71" t="s">
        <v>387</v>
      </c>
      <c r="F50" s="72"/>
      <c r="G50" s="229" t="s">
        <v>384</v>
      </c>
      <c r="H50" s="72"/>
      <c r="I50" s="229" t="s">
        <v>389</v>
      </c>
      <c r="J50" s="72"/>
      <c r="K50" s="229" t="s">
        <v>391</v>
      </c>
      <c r="L50" s="72"/>
      <c r="M50" s="229" t="s">
        <v>362</v>
      </c>
      <c r="N50" s="72"/>
      <c r="O50" s="229" t="s">
        <v>362</v>
      </c>
      <c r="P50" s="72"/>
      <c r="Q50" s="224"/>
    </row>
    <row r="51" spans="2:21" s="223" customFormat="1" ht="17.5" customHeight="1" x14ac:dyDescent="0.45">
      <c r="B51" s="50"/>
      <c r="C51" s="71"/>
      <c r="D51" s="72"/>
      <c r="E51" s="71"/>
      <c r="F51" s="72"/>
      <c r="G51" s="229"/>
      <c r="H51" s="72"/>
      <c r="I51" s="229"/>
      <c r="J51" s="72"/>
      <c r="K51" s="229"/>
      <c r="L51" s="72"/>
      <c r="M51" s="229"/>
      <c r="N51" s="72"/>
      <c r="O51" s="229"/>
      <c r="P51" s="72"/>
      <c r="Q51" s="224"/>
    </row>
    <row r="52" spans="2:21" s="223" customFormat="1" ht="17.5" customHeight="1" x14ac:dyDescent="0.45">
      <c r="B52" s="50" t="s">
        <v>4</v>
      </c>
      <c r="C52" s="71" t="s">
        <v>75</v>
      </c>
      <c r="D52" s="72"/>
      <c r="E52" s="71" t="s">
        <v>396</v>
      </c>
      <c r="F52" s="72"/>
      <c r="G52" s="229" t="s">
        <v>309</v>
      </c>
      <c r="H52" s="72"/>
      <c r="I52" s="229" t="s">
        <v>96</v>
      </c>
      <c r="J52" s="72"/>
      <c r="K52" s="229" t="s">
        <v>360</v>
      </c>
      <c r="L52" s="72"/>
      <c r="M52" s="229" t="s">
        <v>362</v>
      </c>
      <c r="N52" s="72"/>
      <c r="O52" s="229" t="s">
        <v>362</v>
      </c>
      <c r="P52" s="72"/>
      <c r="Q52" s="224"/>
    </row>
    <row r="53" spans="2:21" s="223" customFormat="1" ht="17.5" customHeight="1" x14ac:dyDescent="0.45">
      <c r="B53" s="50"/>
      <c r="C53" s="71"/>
      <c r="D53" s="72"/>
      <c r="E53" s="71"/>
      <c r="F53" s="72"/>
      <c r="G53" s="229"/>
      <c r="H53" s="72"/>
      <c r="I53" s="229"/>
      <c r="J53" s="72"/>
      <c r="K53" s="229"/>
      <c r="L53" s="72"/>
      <c r="M53" s="229"/>
      <c r="N53" s="72"/>
      <c r="O53" s="229"/>
      <c r="P53" s="72"/>
      <c r="Q53" s="224"/>
    </row>
    <row r="54" spans="2:21" s="223" customFormat="1" ht="17.5" customHeight="1" x14ac:dyDescent="0.45">
      <c r="B54" s="50" t="s">
        <v>30</v>
      </c>
      <c r="C54" s="71" t="s">
        <v>38</v>
      </c>
      <c r="D54" s="72"/>
      <c r="E54" s="71" t="s">
        <v>85</v>
      </c>
      <c r="F54" s="72"/>
      <c r="G54" s="229" t="s">
        <v>289</v>
      </c>
      <c r="H54" s="72"/>
      <c r="I54" s="229" t="s">
        <v>38</v>
      </c>
      <c r="J54" s="72"/>
      <c r="K54" s="229" t="s">
        <v>203</v>
      </c>
      <c r="L54" s="72"/>
      <c r="M54" s="229" t="s">
        <v>362</v>
      </c>
      <c r="N54" s="72"/>
      <c r="O54" s="229" t="s">
        <v>362</v>
      </c>
      <c r="P54" s="72"/>
      <c r="Q54" s="224"/>
    </row>
    <row r="55" spans="2:21" s="223" customFormat="1" ht="17.5" customHeight="1" x14ac:dyDescent="0.45">
      <c r="B55" s="50"/>
      <c r="C55" s="71"/>
      <c r="D55" s="72"/>
      <c r="E55" s="71"/>
      <c r="F55" s="72"/>
      <c r="G55" s="229"/>
      <c r="H55" s="72"/>
      <c r="I55" s="229"/>
      <c r="J55" s="72"/>
      <c r="K55" s="229"/>
      <c r="L55" s="72"/>
      <c r="M55" s="229"/>
      <c r="N55" s="72"/>
      <c r="O55" s="229"/>
      <c r="P55" s="72"/>
      <c r="Q55" s="224"/>
    </row>
    <row r="56" spans="2:21" s="223" customFormat="1" ht="17.5" customHeight="1" x14ac:dyDescent="0.45">
      <c r="B56" s="50" t="s">
        <v>6</v>
      </c>
      <c r="C56" s="71" t="s">
        <v>366</v>
      </c>
      <c r="D56" s="72"/>
      <c r="E56" s="71" t="s">
        <v>370</v>
      </c>
      <c r="F56" s="72"/>
      <c r="G56" s="229" t="s">
        <v>183</v>
      </c>
      <c r="H56" s="72"/>
      <c r="I56" s="229" t="s">
        <v>367</v>
      </c>
      <c r="J56" s="72"/>
      <c r="K56" s="229" t="s">
        <v>378</v>
      </c>
      <c r="L56" s="72"/>
      <c r="M56" s="229" t="s">
        <v>362</v>
      </c>
      <c r="N56" s="72"/>
      <c r="O56" s="229" t="s">
        <v>362</v>
      </c>
      <c r="P56" s="72"/>
      <c r="Q56" s="224"/>
    </row>
    <row r="57" spans="2:21" s="223" customFormat="1" ht="17.5" customHeight="1" x14ac:dyDescent="0.45">
      <c r="B57" s="50"/>
      <c r="C57" s="71" t="s">
        <v>383</v>
      </c>
      <c r="D57" s="72"/>
      <c r="E57" s="71" t="s">
        <v>373</v>
      </c>
      <c r="F57" s="72"/>
      <c r="G57" s="229" t="s">
        <v>372</v>
      </c>
      <c r="H57" s="72"/>
      <c r="I57" s="229" t="s">
        <v>375</v>
      </c>
      <c r="J57" s="72"/>
      <c r="K57" s="229" t="s">
        <v>372</v>
      </c>
      <c r="L57" s="72"/>
      <c r="M57" s="229"/>
      <c r="N57" s="72"/>
      <c r="O57" s="229"/>
      <c r="P57" s="72"/>
      <c r="Q57" s="224"/>
    </row>
    <row r="58" spans="2:21" s="223" customFormat="1" ht="17.5" customHeight="1" x14ac:dyDescent="0.45">
      <c r="B58" s="50"/>
      <c r="C58" s="71" t="s">
        <v>380</v>
      </c>
      <c r="D58" s="72"/>
      <c r="E58" s="71" t="s">
        <v>371</v>
      </c>
      <c r="F58" s="72"/>
      <c r="G58" s="229" t="s">
        <v>378</v>
      </c>
      <c r="H58" s="72"/>
      <c r="I58" s="229" t="s">
        <v>379</v>
      </c>
      <c r="J58" s="72"/>
      <c r="K58" s="229" t="s">
        <v>380</v>
      </c>
      <c r="L58" s="72"/>
      <c r="M58" s="229"/>
      <c r="N58" s="72"/>
      <c r="O58" s="229"/>
      <c r="P58" s="72"/>
      <c r="Q58" s="224"/>
    </row>
    <row r="59" spans="2:21" s="223" customFormat="1" ht="17.5" customHeight="1" x14ac:dyDescent="0.45">
      <c r="B59" s="62"/>
      <c r="C59" s="230" t="s">
        <v>187</v>
      </c>
      <c r="D59" s="231"/>
      <c r="E59" s="230" t="s">
        <v>388</v>
      </c>
      <c r="F59" s="231"/>
      <c r="G59" s="232" t="s">
        <v>39</v>
      </c>
      <c r="H59" s="231"/>
      <c r="I59" s="232" t="s">
        <v>390</v>
      </c>
      <c r="J59" s="231"/>
      <c r="K59" s="232" t="s">
        <v>368</v>
      </c>
      <c r="L59" s="231"/>
      <c r="M59" s="232"/>
      <c r="N59" s="231"/>
      <c r="O59" s="232"/>
      <c r="P59" s="231"/>
      <c r="Q59" s="224"/>
    </row>
    <row r="60" spans="2:21" s="216" customFormat="1" ht="18" customHeight="1" x14ac:dyDescent="0.3">
      <c r="B60" s="63"/>
      <c r="C60" s="217">
        <f>IF(DAY(SepSun1)=1,IF(AND(YEAR(SepSun1+22)=CalendarYear,MONTH(SepSun1+22)=9),SepSun1+22,""),IF(AND(YEAR(SepSun1+29)=CalendarYear,MONTH(SepSun1+29)=9),SepSun1+29,""))</f>
        <v>44830</v>
      </c>
      <c r="D60" s="218"/>
      <c r="E60" s="217">
        <f>IF(DAY(SepSun1)=1,IF(AND(YEAR(SepSun1+23)=CalendarYear,MONTH(SepSun1+23)=9),SepSun1+23,""),IF(AND(YEAR(SepSun1+30)=CalendarYear,MONTH(SepSun1+30)=9),SepSun1+30,""))</f>
        <v>44831</v>
      </c>
      <c r="F60" s="218"/>
      <c r="G60" s="219">
        <f>IF(DAY(SepSun1)=1,IF(AND(YEAR(SepSun1+24)=CalendarYear,MONTH(SepSun1+24)=9),SepSun1+24,""),IF(AND(YEAR(SepSun1+31)=CalendarYear,MONTH(SepSun1+31)=9),SepSun1+31,""))</f>
        <v>44832</v>
      </c>
      <c r="H60" s="218"/>
      <c r="I60" s="219">
        <f>IF(DAY(SepSun1)=1,IF(AND(YEAR(SepSun1+25)=CalendarYear,MONTH(SepSun1+25)=9),SepSun1+25,""),IF(AND(YEAR(SepSun1+32)=CalendarYear,MONTH(SepSun1+32)=9),SepSun1+32,""))</f>
        <v>44833</v>
      </c>
      <c r="J60" s="218"/>
      <c r="K60" s="219">
        <f>IF(DAY(SepSun1)=1,IF(AND(YEAR(SepSun1+26)=CalendarYear,MONTH(SepSun1+26)=9),SepSun1+26,""),IF(AND(YEAR(SepSun1+33)=CalendarYear,MONTH(SepSun1+33)=9),SepSun1+33,""))</f>
        <v>44834</v>
      </c>
      <c r="L60" s="218"/>
      <c r="M60" s="219" t="str">
        <f>IF(DAY(SepSun1)=1,IF(AND(YEAR(SepSun1+27)=CalendarYear,MONTH(SepSun1+27)=9),SepSun1+27,""),IF(AND(YEAR(SepSun1+34)=CalendarYear,MONTH(SepSun1+34)=9),SepSun1+34,""))</f>
        <v/>
      </c>
      <c r="N60" s="218"/>
      <c r="O60" s="219" t="str">
        <f>IF(DAY(SepSun1)=1,IF(AND(YEAR(SepSun1+28)=CalendarYear,MONTH(SepSun1+28)=9),SepSun1+28,""),IF(AND(YEAR(SepSun1+35)=CalendarYear,MONTH(SepSun1+35)=9),SepSun1+35,""))</f>
        <v/>
      </c>
      <c r="P60" s="218" t="s">
        <v>29</v>
      </c>
      <c r="Q60" s="220"/>
      <c r="T60" s="221"/>
      <c r="U60" s="222"/>
    </row>
    <row r="61" spans="2:21" s="223" customFormat="1" ht="17.5" customHeight="1" x14ac:dyDescent="0.45">
      <c r="B61" s="50" t="s">
        <v>1</v>
      </c>
      <c r="C61" s="74" t="s">
        <v>105</v>
      </c>
      <c r="D61" s="65"/>
      <c r="E61" s="74" t="s">
        <v>386</v>
      </c>
      <c r="F61" s="65"/>
      <c r="G61" s="64" t="s">
        <v>42</v>
      </c>
      <c r="H61" s="65"/>
      <c r="I61" s="64" t="s">
        <v>44</v>
      </c>
      <c r="J61" s="65"/>
      <c r="K61" s="64" t="s">
        <v>67</v>
      </c>
      <c r="L61" s="65"/>
      <c r="M61" s="241" t="s">
        <v>362</v>
      </c>
      <c r="N61" s="65"/>
      <c r="O61" s="241" t="s">
        <v>362</v>
      </c>
      <c r="P61" s="65"/>
      <c r="Q61" s="224"/>
    </row>
    <row r="62" spans="2:21" s="223" customFormat="1" ht="17.5" customHeight="1" x14ac:dyDescent="0.45">
      <c r="B62" s="50"/>
      <c r="C62" s="75"/>
      <c r="D62" s="67"/>
      <c r="E62" s="75"/>
      <c r="F62" s="67"/>
      <c r="G62" s="225"/>
      <c r="H62" s="67"/>
      <c r="I62" s="225"/>
      <c r="J62" s="67"/>
      <c r="K62" s="225"/>
      <c r="L62" s="67"/>
      <c r="M62" s="225"/>
      <c r="N62" s="67"/>
      <c r="O62" s="225"/>
      <c r="P62" s="67"/>
      <c r="Q62" s="224"/>
    </row>
    <row r="63" spans="2:21" s="223" customFormat="1" ht="17.5" customHeight="1" x14ac:dyDescent="0.45">
      <c r="B63" s="50" t="s">
        <v>3</v>
      </c>
      <c r="C63" s="75" t="s">
        <v>106</v>
      </c>
      <c r="D63" s="67"/>
      <c r="E63" s="75" t="s">
        <v>251</v>
      </c>
      <c r="F63" s="67"/>
      <c r="G63" s="225" t="s">
        <v>173</v>
      </c>
      <c r="H63" s="67"/>
      <c r="I63" s="225" t="s">
        <v>393</v>
      </c>
      <c r="J63" s="67"/>
      <c r="K63" s="225" t="s">
        <v>91</v>
      </c>
      <c r="L63" s="67"/>
      <c r="M63" s="225" t="s">
        <v>362</v>
      </c>
      <c r="N63" s="67"/>
      <c r="O63" s="225" t="s">
        <v>362</v>
      </c>
      <c r="P63" s="67"/>
      <c r="Q63" s="224"/>
    </row>
    <row r="64" spans="2:21" s="223" customFormat="1" ht="17.5" customHeight="1" x14ac:dyDescent="0.45">
      <c r="B64" s="50"/>
      <c r="C64" s="75"/>
      <c r="D64" s="67"/>
      <c r="E64" s="75"/>
      <c r="F64" s="67"/>
      <c r="G64" s="225"/>
      <c r="H64" s="67"/>
      <c r="I64" s="225"/>
      <c r="J64" s="67"/>
      <c r="K64" s="225"/>
      <c r="L64" s="67"/>
      <c r="M64" s="225"/>
      <c r="N64" s="67"/>
      <c r="O64" s="225"/>
      <c r="P64" s="67"/>
      <c r="Q64" s="224"/>
    </row>
    <row r="65" spans="1:21" s="223" customFormat="1" ht="17.5" customHeight="1" x14ac:dyDescent="0.45">
      <c r="B65" s="50" t="s">
        <v>4</v>
      </c>
      <c r="C65" s="75" t="s">
        <v>392</v>
      </c>
      <c r="D65" s="67"/>
      <c r="E65" s="75" t="s">
        <v>397</v>
      </c>
      <c r="F65" s="67"/>
      <c r="G65" s="225" t="s">
        <v>77</v>
      </c>
      <c r="H65" s="67"/>
      <c r="I65" s="225" t="s">
        <v>396</v>
      </c>
      <c r="J65" s="67"/>
      <c r="K65" s="225" t="s">
        <v>309</v>
      </c>
      <c r="L65" s="67"/>
      <c r="M65" s="225" t="s">
        <v>362</v>
      </c>
      <c r="N65" s="67"/>
      <c r="O65" s="225" t="s">
        <v>362</v>
      </c>
      <c r="P65" s="67"/>
      <c r="Q65" s="224"/>
    </row>
    <row r="66" spans="1:21" s="223" customFormat="1" ht="17.5" customHeight="1" x14ac:dyDescent="0.45">
      <c r="B66" s="50"/>
      <c r="C66" s="75"/>
      <c r="D66" s="67"/>
      <c r="E66" s="75"/>
      <c r="F66" s="67"/>
      <c r="G66" s="225"/>
      <c r="H66" s="67"/>
      <c r="I66" s="225"/>
      <c r="J66" s="67"/>
      <c r="K66" s="225"/>
      <c r="L66" s="67"/>
      <c r="M66" s="225"/>
      <c r="N66" s="67"/>
      <c r="O66" s="225"/>
      <c r="P66" s="67"/>
      <c r="Q66" s="224"/>
    </row>
    <row r="67" spans="1:21" s="223" customFormat="1" ht="17.5" customHeight="1" x14ac:dyDescent="0.45">
      <c r="B67" s="50" t="s">
        <v>30</v>
      </c>
      <c r="C67" s="75" t="s">
        <v>57</v>
      </c>
      <c r="D67" s="67"/>
      <c r="E67" s="75" t="s">
        <v>85</v>
      </c>
      <c r="F67" s="67"/>
      <c r="G67" s="225" t="s">
        <v>38</v>
      </c>
      <c r="H67" s="67"/>
      <c r="I67" s="225" t="s">
        <v>289</v>
      </c>
      <c r="J67" s="67"/>
      <c r="K67" s="225" t="s">
        <v>38</v>
      </c>
      <c r="L67" s="67"/>
      <c r="M67" s="225" t="s">
        <v>362</v>
      </c>
      <c r="N67" s="67"/>
      <c r="O67" s="225" t="s">
        <v>362</v>
      </c>
      <c r="P67" s="67"/>
      <c r="Q67" s="224"/>
    </row>
    <row r="68" spans="1:21" s="223" customFormat="1" ht="17.5" customHeight="1" x14ac:dyDescent="0.45">
      <c r="B68" s="50"/>
      <c r="C68" s="75"/>
      <c r="D68" s="67"/>
      <c r="E68" s="75"/>
      <c r="F68" s="67"/>
      <c r="G68" s="225"/>
      <c r="H68" s="67"/>
      <c r="I68" s="225"/>
      <c r="J68" s="67"/>
      <c r="K68" s="225"/>
      <c r="L68" s="67"/>
      <c r="M68" s="225"/>
      <c r="N68" s="67"/>
      <c r="O68" s="225"/>
      <c r="P68" s="67"/>
      <c r="Q68" s="224"/>
    </row>
    <row r="69" spans="1:21" s="223" customFormat="1" ht="17.5" customHeight="1" x14ac:dyDescent="0.45">
      <c r="B69" s="50" t="s">
        <v>6</v>
      </c>
      <c r="C69" s="75" t="s">
        <v>378</v>
      </c>
      <c r="D69" s="67"/>
      <c r="E69" s="75" t="s">
        <v>395</v>
      </c>
      <c r="F69" s="67"/>
      <c r="G69" s="225" t="s">
        <v>380</v>
      </c>
      <c r="H69" s="67"/>
      <c r="I69" s="225" t="s">
        <v>367</v>
      </c>
      <c r="J69" s="67"/>
      <c r="K69" s="225" t="s">
        <v>378</v>
      </c>
      <c r="L69" s="67"/>
      <c r="M69" s="225" t="s">
        <v>362</v>
      </c>
      <c r="N69" s="67"/>
      <c r="O69" s="225" t="s">
        <v>362</v>
      </c>
      <c r="P69" s="67"/>
      <c r="Q69" s="224"/>
    </row>
    <row r="70" spans="1:21" s="223" customFormat="1" ht="17.5" customHeight="1" x14ac:dyDescent="0.45">
      <c r="B70" s="50"/>
      <c r="C70" s="75" t="s">
        <v>379</v>
      </c>
      <c r="D70" s="67"/>
      <c r="E70" s="75" t="s">
        <v>380</v>
      </c>
      <c r="F70" s="67"/>
      <c r="G70" s="225" t="s">
        <v>249</v>
      </c>
      <c r="H70" s="67"/>
      <c r="I70" s="225" t="s">
        <v>372</v>
      </c>
      <c r="J70" s="67"/>
      <c r="K70" s="225" t="s">
        <v>367</v>
      </c>
      <c r="L70" s="67"/>
      <c r="M70" s="225"/>
      <c r="N70" s="67"/>
      <c r="O70" s="225"/>
      <c r="P70" s="67"/>
      <c r="Q70" s="224"/>
    </row>
    <row r="71" spans="1:21" s="223" customFormat="1" ht="17.5" customHeight="1" x14ac:dyDescent="0.45">
      <c r="B71" s="50"/>
      <c r="C71" s="75" t="s">
        <v>367</v>
      </c>
      <c r="D71" s="67"/>
      <c r="E71" s="75" t="s">
        <v>371</v>
      </c>
      <c r="F71" s="67"/>
      <c r="G71" s="225" t="s">
        <v>372</v>
      </c>
      <c r="H71" s="67"/>
      <c r="I71" s="225" t="s">
        <v>368</v>
      </c>
      <c r="J71" s="67"/>
      <c r="K71" s="225" t="s">
        <v>372</v>
      </c>
      <c r="L71" s="67"/>
      <c r="M71" s="225"/>
      <c r="N71" s="67"/>
      <c r="O71" s="225"/>
      <c r="P71" s="67"/>
      <c r="Q71" s="224"/>
    </row>
    <row r="72" spans="1:21" s="223" customFormat="1" ht="17.5" customHeight="1" x14ac:dyDescent="0.45">
      <c r="B72" s="62"/>
      <c r="C72" s="226" t="s">
        <v>39</v>
      </c>
      <c r="D72" s="227"/>
      <c r="E72" s="226" t="s">
        <v>394</v>
      </c>
      <c r="F72" s="227"/>
      <c r="G72" s="228" t="s">
        <v>378</v>
      </c>
      <c r="H72" s="227"/>
      <c r="I72" s="228" t="s">
        <v>376</v>
      </c>
      <c r="J72" s="227"/>
      <c r="K72" s="228" t="s">
        <v>390</v>
      </c>
      <c r="L72" s="227"/>
      <c r="M72" s="228"/>
      <c r="N72" s="227"/>
      <c r="O72" s="228"/>
      <c r="P72" s="227"/>
      <c r="Q72" s="224"/>
    </row>
    <row r="73" spans="1:21" s="214" customFormat="1" ht="18" customHeight="1" x14ac:dyDescent="0.35">
      <c r="A73" s="216"/>
      <c r="B73" s="63"/>
      <c r="C73" s="217" t="str">
        <f>IF(DAY(SepSun1)=1,IF(AND(YEAR(SepSun1+29)=CalendarYear,MONTH(SepSun1+29)=9),SepSun1+29,""),IF(AND(YEAR(SepSun1+36)=CalendarYear,MONTH(SepSun1+36)=9),SepSun1+36,""))</f>
        <v/>
      </c>
      <c r="D73" s="218"/>
      <c r="E73" s="217" t="str">
        <f>IF(DAY(SepSun1)=1,IF(AND(YEAR(SepSun1+30)=CalendarYear,MONTH(SepSun1+30)=9),SepSun1+30,""),IF(AND(YEAR(SepSun1+37)=CalendarYear,MONTH(SepSun1+37)=9),SepSun1+37,""))</f>
        <v/>
      </c>
      <c r="F73" s="218"/>
      <c r="G73" s="219" t="s">
        <v>14</v>
      </c>
      <c r="H73" s="233"/>
      <c r="I73" s="234"/>
      <c r="J73" s="233"/>
      <c r="K73" s="234"/>
      <c r="L73" s="233"/>
      <c r="M73" s="234"/>
      <c r="N73" s="233"/>
      <c r="O73" s="234"/>
      <c r="P73" s="233"/>
      <c r="Q73" s="224"/>
      <c r="T73" s="223"/>
      <c r="U73" s="200"/>
    </row>
    <row r="74" spans="1:21" s="223" customFormat="1" ht="17.5" customHeight="1" x14ac:dyDescent="0.45">
      <c r="B74" s="50" t="s">
        <v>1</v>
      </c>
      <c r="C74" s="68"/>
      <c r="D74" s="69"/>
      <c r="E74" s="68"/>
      <c r="F74" s="69"/>
      <c r="G74" s="303"/>
      <c r="H74" s="304"/>
      <c r="I74" s="304"/>
      <c r="J74" s="304"/>
      <c r="K74" s="304"/>
      <c r="L74" s="304"/>
      <c r="M74" s="304"/>
      <c r="N74" s="304"/>
      <c r="O74" s="304"/>
      <c r="P74" s="305"/>
      <c r="Q74" s="224"/>
    </row>
    <row r="75" spans="1:21" s="223" customFormat="1" ht="17.5" customHeight="1" x14ac:dyDescent="0.45">
      <c r="B75" s="50"/>
      <c r="C75" s="71"/>
      <c r="D75" s="72"/>
      <c r="E75" s="71"/>
      <c r="F75" s="72"/>
      <c r="G75" s="306"/>
      <c r="H75" s="307"/>
      <c r="I75" s="307"/>
      <c r="J75" s="307"/>
      <c r="K75" s="307"/>
      <c r="L75" s="307"/>
      <c r="M75" s="307"/>
      <c r="N75" s="307"/>
      <c r="O75" s="307"/>
      <c r="P75" s="308"/>
      <c r="Q75" s="224"/>
    </row>
    <row r="76" spans="1:21" s="223" customFormat="1" ht="17.5" customHeight="1" x14ac:dyDescent="0.45">
      <c r="B76" s="50" t="s">
        <v>3</v>
      </c>
      <c r="C76" s="71"/>
      <c r="D76" s="72"/>
      <c r="E76" s="71"/>
      <c r="F76" s="72"/>
      <c r="G76" s="306"/>
      <c r="H76" s="307"/>
      <c r="I76" s="307"/>
      <c r="J76" s="307"/>
      <c r="K76" s="307"/>
      <c r="L76" s="307"/>
      <c r="M76" s="307"/>
      <c r="N76" s="307"/>
      <c r="O76" s="307"/>
      <c r="P76" s="308"/>
      <c r="Q76" s="224"/>
    </row>
    <row r="77" spans="1:21" s="223" customFormat="1" ht="17.5" customHeight="1" x14ac:dyDescent="0.45">
      <c r="B77" s="50"/>
      <c r="C77" s="71"/>
      <c r="D77" s="72"/>
      <c r="E77" s="71"/>
      <c r="F77" s="72"/>
      <c r="G77" s="306"/>
      <c r="H77" s="307"/>
      <c r="I77" s="307"/>
      <c r="J77" s="307"/>
      <c r="K77" s="307"/>
      <c r="L77" s="307"/>
      <c r="M77" s="307"/>
      <c r="N77" s="307"/>
      <c r="O77" s="307"/>
      <c r="P77" s="308"/>
      <c r="Q77" s="224"/>
    </row>
    <row r="78" spans="1:21" s="223" customFormat="1" ht="17.5" customHeight="1" x14ac:dyDescent="0.45">
      <c r="B78" s="50" t="s">
        <v>4</v>
      </c>
      <c r="C78" s="71"/>
      <c r="D78" s="72"/>
      <c r="E78" s="71"/>
      <c r="F78" s="72"/>
      <c r="G78" s="306"/>
      <c r="H78" s="307"/>
      <c r="I78" s="307"/>
      <c r="J78" s="307"/>
      <c r="K78" s="307"/>
      <c r="L78" s="307"/>
      <c r="M78" s="307"/>
      <c r="N78" s="307"/>
      <c r="O78" s="307"/>
      <c r="P78" s="308"/>
      <c r="Q78" s="224"/>
    </row>
    <row r="79" spans="1:21" s="223" customFormat="1" ht="17.5" customHeight="1" x14ac:dyDescent="0.45">
      <c r="B79" s="50"/>
      <c r="C79" s="71"/>
      <c r="D79" s="72"/>
      <c r="E79" s="71"/>
      <c r="F79" s="72"/>
      <c r="G79" s="306"/>
      <c r="H79" s="307"/>
      <c r="I79" s="307"/>
      <c r="J79" s="307"/>
      <c r="K79" s="307"/>
      <c r="L79" s="307"/>
      <c r="M79" s="307"/>
      <c r="N79" s="307"/>
      <c r="O79" s="307"/>
      <c r="P79" s="308"/>
      <c r="Q79" s="224"/>
    </row>
    <row r="80" spans="1:21" s="223" customFormat="1" ht="17.5" customHeight="1" x14ac:dyDescent="0.45">
      <c r="B80" s="50" t="s">
        <v>30</v>
      </c>
      <c r="C80" s="71"/>
      <c r="D80" s="72"/>
      <c r="E80" s="71"/>
      <c r="F80" s="72"/>
      <c r="G80" s="306"/>
      <c r="H80" s="307"/>
      <c r="I80" s="307"/>
      <c r="J80" s="307"/>
      <c r="K80" s="307"/>
      <c r="L80" s="307"/>
      <c r="M80" s="307"/>
      <c r="N80" s="307"/>
      <c r="O80" s="307"/>
      <c r="P80" s="308"/>
      <c r="Q80" s="224"/>
    </row>
    <row r="81" spans="1:17" s="223" customFormat="1" ht="17.5" customHeight="1" x14ac:dyDescent="0.45">
      <c r="B81" s="50"/>
      <c r="C81" s="71"/>
      <c r="D81" s="72"/>
      <c r="E81" s="71"/>
      <c r="F81" s="72"/>
      <c r="G81" s="306"/>
      <c r="H81" s="307"/>
      <c r="I81" s="307"/>
      <c r="J81" s="307"/>
      <c r="K81" s="307"/>
      <c r="L81" s="307"/>
      <c r="M81" s="307"/>
      <c r="N81" s="307"/>
      <c r="O81" s="307"/>
      <c r="P81" s="308"/>
      <c r="Q81" s="224"/>
    </row>
    <row r="82" spans="1:17" s="223" customFormat="1" ht="17.5" customHeight="1" x14ac:dyDescent="0.45">
      <c r="B82" s="50" t="s">
        <v>6</v>
      </c>
      <c r="C82" s="71"/>
      <c r="D82" s="72"/>
      <c r="E82" s="71"/>
      <c r="F82" s="72"/>
      <c r="G82" s="306"/>
      <c r="H82" s="307"/>
      <c r="I82" s="307"/>
      <c r="J82" s="307"/>
      <c r="K82" s="307"/>
      <c r="L82" s="307"/>
      <c r="M82" s="307"/>
      <c r="N82" s="307"/>
      <c r="O82" s="307"/>
      <c r="P82" s="308"/>
      <c r="Q82" s="224"/>
    </row>
    <row r="83" spans="1:17" s="223" customFormat="1" ht="17.5" customHeight="1" x14ac:dyDescent="0.45">
      <c r="B83" s="50"/>
      <c r="C83" s="71"/>
      <c r="D83" s="72"/>
      <c r="E83" s="71"/>
      <c r="F83" s="72"/>
      <c r="G83" s="306"/>
      <c r="H83" s="307"/>
      <c r="I83" s="307"/>
      <c r="J83" s="307"/>
      <c r="K83" s="307"/>
      <c r="L83" s="307"/>
      <c r="M83" s="307"/>
      <c r="N83" s="307"/>
      <c r="O83" s="307"/>
      <c r="P83" s="308"/>
      <c r="Q83" s="224"/>
    </row>
    <row r="84" spans="1:17" s="223" customFormat="1" ht="17.5" customHeight="1" x14ac:dyDescent="0.45">
      <c r="B84" s="50"/>
      <c r="C84" s="71"/>
      <c r="D84" s="72"/>
      <c r="E84" s="71"/>
      <c r="F84" s="72"/>
      <c r="G84" s="306"/>
      <c r="H84" s="307"/>
      <c r="I84" s="307"/>
      <c r="J84" s="307"/>
      <c r="K84" s="307"/>
      <c r="L84" s="307"/>
      <c r="M84" s="307"/>
      <c r="N84" s="307"/>
      <c r="O84" s="307"/>
      <c r="P84" s="308"/>
      <c r="Q84" s="224"/>
    </row>
    <row r="85" spans="1:17" s="223" customFormat="1" ht="17.5" customHeight="1" x14ac:dyDescent="0.45">
      <c r="B85" s="62"/>
      <c r="C85" s="230"/>
      <c r="D85" s="231"/>
      <c r="E85" s="230"/>
      <c r="F85" s="231"/>
      <c r="G85" s="309"/>
      <c r="H85" s="310"/>
      <c r="I85" s="310"/>
      <c r="J85" s="310"/>
      <c r="K85" s="310"/>
      <c r="L85" s="310"/>
      <c r="M85" s="310"/>
      <c r="N85" s="310"/>
      <c r="O85" s="310"/>
      <c r="P85" s="311"/>
      <c r="Q85" s="224"/>
    </row>
    <row r="86" spans="1:17" ht="22.75" customHeight="1" x14ac:dyDescent="0.35">
      <c r="B86" s="245" t="s">
        <v>27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</row>
    <row r="87" spans="1:17" ht="22.75" customHeight="1" x14ac:dyDescent="0.35">
      <c r="A87" s="223"/>
      <c r="B87" s="244" t="s">
        <v>28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</row>
    <row r="88" spans="1:17" ht="18" x14ac:dyDescent="0.35">
      <c r="A88" s="223"/>
    </row>
    <row r="89" spans="1:17" ht="18" x14ac:dyDescent="0.35">
      <c r="A89" s="223"/>
    </row>
    <row r="90" spans="1:17" ht="21" customHeight="1" x14ac:dyDescent="0.35">
      <c r="A90" s="223"/>
      <c r="E90" s="235"/>
      <c r="F90" s="236"/>
      <c r="G90" s="237"/>
      <c r="H90" s="238"/>
      <c r="I90" s="239"/>
      <c r="J90" s="240"/>
    </row>
    <row r="91" spans="1:17" ht="19.5" customHeight="1" x14ac:dyDescent="0.35">
      <c r="A91" s="223"/>
    </row>
    <row r="92" spans="1:17" x14ac:dyDescent="0.35">
      <c r="A92" s="214"/>
    </row>
    <row r="93" spans="1:17" ht="18" x14ac:dyDescent="0.35">
      <c r="A93" s="223"/>
    </row>
    <row r="94" spans="1:17" ht="18" x14ac:dyDescent="0.35">
      <c r="A94" s="223"/>
    </row>
    <row r="95" spans="1:17" ht="18" x14ac:dyDescent="0.35">
      <c r="A95" s="223"/>
    </row>
    <row r="96" spans="1:17" ht="18" x14ac:dyDescent="0.35">
      <c r="A96" s="223"/>
    </row>
    <row r="97" spans="1:1" ht="18" x14ac:dyDescent="0.35">
      <c r="A97" s="223"/>
    </row>
    <row r="98" spans="1:1" ht="18" x14ac:dyDescent="0.35">
      <c r="A98" s="223"/>
    </row>
    <row r="99" spans="1:1" ht="18" x14ac:dyDescent="0.35">
      <c r="A99" s="223"/>
    </row>
    <row r="100" spans="1:1" ht="18" x14ac:dyDescent="0.35">
      <c r="A100" s="223"/>
    </row>
    <row r="101" spans="1:1" ht="18" x14ac:dyDescent="0.35">
      <c r="A101" s="223"/>
    </row>
    <row r="102" spans="1:1" ht="18" x14ac:dyDescent="0.35">
      <c r="A102" s="223"/>
    </row>
    <row r="103" spans="1:1" ht="18" x14ac:dyDescent="0.35">
      <c r="A103" s="223"/>
    </row>
    <row r="104" spans="1:1" ht="18" x14ac:dyDescent="0.35">
      <c r="A104" s="223"/>
    </row>
    <row r="105" spans="1:1" x14ac:dyDescent="0.35">
      <c r="A105" s="214"/>
    </row>
    <row r="106" spans="1:1" ht="18" x14ac:dyDescent="0.35">
      <c r="A106" s="223"/>
    </row>
    <row r="107" spans="1:1" ht="18" x14ac:dyDescent="0.35">
      <c r="A107" s="223"/>
    </row>
    <row r="108" spans="1:1" ht="18" x14ac:dyDescent="0.35">
      <c r="A108" s="223"/>
    </row>
    <row r="109" spans="1:1" ht="18" x14ac:dyDescent="0.35">
      <c r="A109" s="223"/>
    </row>
    <row r="110" spans="1:1" ht="18" x14ac:dyDescent="0.35">
      <c r="A110" s="223"/>
    </row>
    <row r="111" spans="1:1" ht="18" x14ac:dyDescent="0.35">
      <c r="A111" s="223"/>
    </row>
    <row r="112" spans="1:1" ht="18" x14ac:dyDescent="0.35">
      <c r="A112" s="223"/>
    </row>
    <row r="113" spans="1:1" ht="18" x14ac:dyDescent="0.35">
      <c r="A113" s="223"/>
    </row>
    <row r="114" spans="1:1" ht="18" x14ac:dyDescent="0.35">
      <c r="A114" s="223"/>
    </row>
    <row r="115" spans="1:1" ht="18" x14ac:dyDescent="0.35">
      <c r="A115" s="223"/>
    </row>
    <row r="116" spans="1:1" ht="18" x14ac:dyDescent="0.35">
      <c r="A116" s="223"/>
    </row>
    <row r="117" spans="1:1" ht="18" x14ac:dyDescent="0.35">
      <c r="A117" s="223"/>
    </row>
    <row r="118" spans="1:1" x14ac:dyDescent="0.35">
      <c r="A118" s="214"/>
    </row>
    <row r="119" spans="1:1" ht="18" x14ac:dyDescent="0.35">
      <c r="A119" s="223"/>
    </row>
    <row r="120" spans="1:1" ht="18" x14ac:dyDescent="0.35">
      <c r="A120" s="223"/>
    </row>
    <row r="121" spans="1:1" ht="18" x14ac:dyDescent="0.35">
      <c r="A121" s="223"/>
    </row>
    <row r="122" spans="1:1" ht="18" x14ac:dyDescent="0.35">
      <c r="A122" s="223"/>
    </row>
    <row r="123" spans="1:1" ht="18" x14ac:dyDescent="0.35">
      <c r="A123" s="223"/>
    </row>
    <row r="124" spans="1:1" ht="18" x14ac:dyDescent="0.35">
      <c r="A124" s="223"/>
    </row>
    <row r="125" spans="1:1" ht="18" x14ac:dyDescent="0.35">
      <c r="A125" s="223"/>
    </row>
    <row r="126" spans="1:1" ht="18" x14ac:dyDescent="0.35">
      <c r="A126" s="223"/>
    </row>
    <row r="127" spans="1:1" ht="18" x14ac:dyDescent="0.35">
      <c r="A127" s="223"/>
    </row>
    <row r="128" spans="1:1" ht="18" x14ac:dyDescent="0.35">
      <c r="A128" s="223"/>
    </row>
    <row r="129" spans="1:1" ht="18" x14ac:dyDescent="0.35">
      <c r="A129" s="223"/>
    </row>
    <row r="130" spans="1:1" ht="18" x14ac:dyDescent="0.35">
      <c r="A130" s="223"/>
    </row>
    <row r="131" spans="1:1" x14ac:dyDescent="0.35">
      <c r="A131" s="214"/>
    </row>
    <row r="132" spans="1:1" ht="18" x14ac:dyDescent="0.35">
      <c r="A132" s="223"/>
    </row>
    <row r="133" spans="1:1" ht="18" x14ac:dyDescent="0.35">
      <c r="A133" s="223"/>
    </row>
    <row r="134" spans="1:1" ht="18" x14ac:dyDescent="0.35">
      <c r="A134" s="223"/>
    </row>
    <row r="135" spans="1:1" ht="18" x14ac:dyDescent="0.35">
      <c r="A135" s="223"/>
    </row>
    <row r="136" spans="1:1" ht="18" x14ac:dyDescent="0.35">
      <c r="A136" s="223"/>
    </row>
    <row r="137" spans="1:1" ht="18" x14ac:dyDescent="0.35">
      <c r="A137" s="223"/>
    </row>
    <row r="138" spans="1:1" ht="18" x14ac:dyDescent="0.35">
      <c r="A138" s="223"/>
    </row>
    <row r="139" spans="1:1" ht="18" x14ac:dyDescent="0.35">
      <c r="A139" s="223"/>
    </row>
    <row r="140" spans="1:1" ht="18" x14ac:dyDescent="0.35">
      <c r="A140" s="223"/>
    </row>
    <row r="141" spans="1:1" ht="18" x14ac:dyDescent="0.35">
      <c r="A141" s="223"/>
    </row>
    <row r="142" spans="1:1" ht="18" x14ac:dyDescent="0.35">
      <c r="A142" s="223"/>
    </row>
    <row r="143" spans="1:1" ht="18" x14ac:dyDescent="0.35">
      <c r="A143" s="223"/>
    </row>
    <row r="144" spans="1:1" x14ac:dyDescent="0.35">
      <c r="A144" s="214"/>
    </row>
    <row r="145" spans="1:1" ht="18" x14ac:dyDescent="0.35">
      <c r="A145" s="223"/>
    </row>
    <row r="146" spans="1:1" ht="18" x14ac:dyDescent="0.35">
      <c r="A146" s="223"/>
    </row>
    <row r="147" spans="1:1" ht="18" x14ac:dyDescent="0.35">
      <c r="A147" s="223"/>
    </row>
    <row r="148" spans="1:1" ht="18" x14ac:dyDescent="0.35">
      <c r="A148" s="223"/>
    </row>
    <row r="149" spans="1:1" ht="18" x14ac:dyDescent="0.35">
      <c r="A149" s="223"/>
    </row>
    <row r="150" spans="1:1" ht="18" x14ac:dyDescent="0.35">
      <c r="A150" s="223"/>
    </row>
    <row r="151" spans="1:1" ht="18" x14ac:dyDescent="0.35">
      <c r="A151" s="223"/>
    </row>
    <row r="152" spans="1:1" ht="18" x14ac:dyDescent="0.35">
      <c r="A152" s="223"/>
    </row>
    <row r="153" spans="1:1" ht="18" x14ac:dyDescent="0.35">
      <c r="A153" s="223"/>
    </row>
    <row r="154" spans="1:1" ht="18" x14ac:dyDescent="0.35">
      <c r="A154" s="223"/>
    </row>
    <row r="155" spans="1:1" ht="18" x14ac:dyDescent="0.35">
      <c r="A155" s="223"/>
    </row>
    <row r="156" spans="1:1" ht="18" x14ac:dyDescent="0.35">
      <c r="A156" s="223"/>
    </row>
    <row r="159" spans="1:1" ht="18" x14ac:dyDescent="0.35">
      <c r="A159" s="223"/>
    </row>
    <row r="160" spans="1:1" ht="18" x14ac:dyDescent="0.35">
      <c r="A160" s="223"/>
    </row>
    <row r="161" spans="1:1" ht="18" x14ac:dyDescent="0.35">
      <c r="A161" s="223"/>
    </row>
    <row r="162" spans="1:1" ht="18" x14ac:dyDescent="0.35">
      <c r="A162" s="223"/>
    </row>
    <row r="163" spans="1:1" x14ac:dyDescent="0.35">
      <c r="A163" s="214"/>
    </row>
    <row r="164" spans="1:1" ht="18" x14ac:dyDescent="0.35">
      <c r="A164" s="223"/>
    </row>
    <row r="165" spans="1:1" ht="18" x14ac:dyDescent="0.35">
      <c r="A165" s="223"/>
    </row>
    <row r="166" spans="1:1" ht="18" x14ac:dyDescent="0.35">
      <c r="A166" s="223"/>
    </row>
    <row r="167" spans="1:1" ht="18" x14ac:dyDescent="0.35">
      <c r="A167" s="223"/>
    </row>
    <row r="168" spans="1:1" ht="18" x14ac:dyDescent="0.35">
      <c r="A168" s="223"/>
    </row>
    <row r="169" spans="1:1" ht="18" x14ac:dyDescent="0.35">
      <c r="A169" s="223"/>
    </row>
    <row r="170" spans="1:1" ht="18" x14ac:dyDescent="0.35">
      <c r="A170" s="223"/>
    </row>
    <row r="171" spans="1:1" ht="18" x14ac:dyDescent="0.35">
      <c r="A171" s="223"/>
    </row>
    <row r="172" spans="1:1" ht="18" x14ac:dyDescent="0.35">
      <c r="A172" s="223"/>
    </row>
    <row r="173" spans="1:1" ht="18" x14ac:dyDescent="0.35">
      <c r="A173" s="223"/>
    </row>
    <row r="174" spans="1:1" ht="18" x14ac:dyDescent="0.35">
      <c r="A174" s="223"/>
    </row>
    <row r="175" spans="1:1" ht="18" x14ac:dyDescent="0.35">
      <c r="A175" s="223"/>
    </row>
    <row r="176" spans="1:1" x14ac:dyDescent="0.35">
      <c r="A176" s="214"/>
    </row>
    <row r="177" spans="1:1" ht="18" x14ac:dyDescent="0.35">
      <c r="A177" s="223"/>
    </row>
    <row r="178" spans="1:1" ht="18" x14ac:dyDescent="0.35">
      <c r="A178" s="223"/>
    </row>
    <row r="179" spans="1:1" ht="18" x14ac:dyDescent="0.35">
      <c r="A179" s="223"/>
    </row>
    <row r="180" spans="1:1" ht="18" x14ac:dyDescent="0.35">
      <c r="A180" s="223"/>
    </row>
    <row r="181" spans="1:1" ht="18" x14ac:dyDescent="0.35">
      <c r="A181" s="223"/>
    </row>
    <row r="182" spans="1:1" ht="18" x14ac:dyDescent="0.35">
      <c r="A182" s="223"/>
    </row>
    <row r="183" spans="1:1" ht="18" x14ac:dyDescent="0.35">
      <c r="A183" s="223"/>
    </row>
    <row r="184" spans="1:1" ht="18" x14ac:dyDescent="0.35">
      <c r="A184" s="223"/>
    </row>
    <row r="185" spans="1:1" ht="18" x14ac:dyDescent="0.35">
      <c r="A185" s="223"/>
    </row>
    <row r="186" spans="1:1" ht="18" x14ac:dyDescent="0.35">
      <c r="A186" s="223"/>
    </row>
    <row r="187" spans="1:1" ht="18" x14ac:dyDescent="0.35">
      <c r="A187" s="223"/>
    </row>
    <row r="188" spans="1:1" ht="18" x14ac:dyDescent="0.35">
      <c r="A188" s="223"/>
    </row>
    <row r="189" spans="1:1" x14ac:dyDescent="0.35">
      <c r="A189" s="214"/>
    </row>
    <row r="190" spans="1:1" ht="18" x14ac:dyDescent="0.35">
      <c r="A190" s="223"/>
    </row>
    <row r="191" spans="1:1" ht="18" x14ac:dyDescent="0.35">
      <c r="A191" s="223"/>
    </row>
    <row r="192" spans="1:1" ht="18" x14ac:dyDescent="0.35">
      <c r="A192" s="223"/>
    </row>
    <row r="193" spans="1:1" ht="18" x14ac:dyDescent="0.35">
      <c r="A193" s="223"/>
    </row>
    <row r="194" spans="1:1" ht="18" x14ac:dyDescent="0.35">
      <c r="A194" s="223"/>
    </row>
    <row r="195" spans="1:1" ht="18" x14ac:dyDescent="0.35">
      <c r="A195" s="223"/>
    </row>
    <row r="196" spans="1:1" ht="18" x14ac:dyDescent="0.35">
      <c r="A196" s="223"/>
    </row>
    <row r="197" spans="1:1" ht="18" x14ac:dyDescent="0.35">
      <c r="A197" s="223"/>
    </row>
    <row r="198" spans="1:1" ht="18" x14ac:dyDescent="0.35">
      <c r="A198" s="223"/>
    </row>
    <row r="199" spans="1:1" ht="18" x14ac:dyDescent="0.35">
      <c r="A199" s="223"/>
    </row>
    <row r="200" spans="1:1" ht="18" x14ac:dyDescent="0.35">
      <c r="A200" s="223"/>
    </row>
    <row r="201" spans="1:1" ht="18" x14ac:dyDescent="0.35">
      <c r="A201" s="223"/>
    </row>
    <row r="202" spans="1:1" x14ac:dyDescent="0.35">
      <c r="A202" s="214"/>
    </row>
    <row r="203" spans="1:1" ht="18" x14ac:dyDescent="0.35">
      <c r="A203" s="223"/>
    </row>
    <row r="204" spans="1:1" ht="18" x14ac:dyDescent="0.35">
      <c r="A204" s="223"/>
    </row>
    <row r="205" spans="1:1" ht="18" x14ac:dyDescent="0.35">
      <c r="A205" s="223"/>
    </row>
    <row r="206" spans="1:1" ht="18" x14ac:dyDescent="0.35">
      <c r="A206" s="223"/>
    </row>
    <row r="207" spans="1:1" ht="18" x14ac:dyDescent="0.35">
      <c r="A207" s="223"/>
    </row>
    <row r="208" spans="1:1" ht="18" x14ac:dyDescent="0.35">
      <c r="A208" s="223"/>
    </row>
    <row r="209" spans="1:1" ht="18" x14ac:dyDescent="0.35">
      <c r="A209" s="223"/>
    </row>
    <row r="210" spans="1:1" ht="18" x14ac:dyDescent="0.35">
      <c r="A210" s="223"/>
    </row>
    <row r="211" spans="1:1" ht="18" x14ac:dyDescent="0.35">
      <c r="A211" s="223"/>
    </row>
    <row r="212" spans="1:1" ht="18" x14ac:dyDescent="0.35">
      <c r="A212" s="223"/>
    </row>
    <row r="213" spans="1:1" ht="18" x14ac:dyDescent="0.35">
      <c r="A213" s="223"/>
    </row>
    <row r="214" spans="1:1" ht="18" x14ac:dyDescent="0.35">
      <c r="A214" s="223"/>
    </row>
    <row r="215" spans="1:1" x14ac:dyDescent="0.35">
      <c r="A215" s="214"/>
    </row>
    <row r="216" spans="1:1" ht="18" x14ac:dyDescent="0.35">
      <c r="A216" s="223"/>
    </row>
    <row r="217" spans="1:1" ht="18" x14ac:dyDescent="0.35">
      <c r="A217" s="223"/>
    </row>
    <row r="218" spans="1:1" ht="18" x14ac:dyDescent="0.35">
      <c r="A218" s="223"/>
    </row>
    <row r="219" spans="1:1" ht="18" x14ac:dyDescent="0.35">
      <c r="A219" s="223"/>
    </row>
    <row r="220" spans="1:1" ht="18" x14ac:dyDescent="0.35">
      <c r="A220" s="223"/>
    </row>
    <row r="221" spans="1:1" ht="18" x14ac:dyDescent="0.35">
      <c r="A221" s="223"/>
    </row>
    <row r="222" spans="1:1" ht="18" x14ac:dyDescent="0.35">
      <c r="A222" s="223"/>
    </row>
    <row r="223" spans="1:1" ht="18" x14ac:dyDescent="0.35">
      <c r="A223" s="223"/>
    </row>
    <row r="224" spans="1:1" ht="18" x14ac:dyDescent="0.35">
      <c r="A224" s="223"/>
    </row>
    <row r="225" spans="1:1" ht="18" x14ac:dyDescent="0.35">
      <c r="A225" s="223"/>
    </row>
    <row r="226" spans="1:1" ht="18" x14ac:dyDescent="0.35">
      <c r="A226" s="223"/>
    </row>
    <row r="227" spans="1:1" ht="18" x14ac:dyDescent="0.35">
      <c r="A227" s="223"/>
    </row>
    <row r="231" spans="1:1" ht="18" x14ac:dyDescent="0.35">
      <c r="A231" s="223"/>
    </row>
    <row r="232" spans="1:1" ht="18" x14ac:dyDescent="0.35">
      <c r="A232" s="223"/>
    </row>
    <row r="233" spans="1:1" ht="18" x14ac:dyDescent="0.35">
      <c r="A233" s="223"/>
    </row>
    <row r="234" spans="1:1" ht="18" x14ac:dyDescent="0.35">
      <c r="A234" s="223"/>
    </row>
    <row r="235" spans="1:1" ht="18" x14ac:dyDescent="0.35">
      <c r="A235" s="223"/>
    </row>
    <row r="236" spans="1:1" ht="18" x14ac:dyDescent="0.35">
      <c r="A236" s="223"/>
    </row>
    <row r="237" spans="1:1" ht="18" x14ac:dyDescent="0.35">
      <c r="A237" s="223"/>
    </row>
    <row r="238" spans="1:1" x14ac:dyDescent="0.35">
      <c r="A238" s="214"/>
    </row>
    <row r="239" spans="1:1" ht="18" x14ac:dyDescent="0.35">
      <c r="A239" s="223"/>
    </row>
    <row r="240" spans="1:1" ht="18" x14ac:dyDescent="0.35">
      <c r="A240" s="223"/>
    </row>
    <row r="241" spans="1:1" ht="18" x14ac:dyDescent="0.35">
      <c r="A241" s="223"/>
    </row>
    <row r="242" spans="1:1" ht="18" x14ac:dyDescent="0.35">
      <c r="A242" s="223"/>
    </row>
    <row r="243" spans="1:1" ht="18" x14ac:dyDescent="0.35">
      <c r="A243" s="223"/>
    </row>
    <row r="244" spans="1:1" ht="18" x14ac:dyDescent="0.35">
      <c r="A244" s="223"/>
    </row>
    <row r="245" spans="1:1" ht="18" x14ac:dyDescent="0.35">
      <c r="A245" s="223"/>
    </row>
    <row r="246" spans="1:1" ht="18" x14ac:dyDescent="0.35">
      <c r="A246" s="223"/>
    </row>
    <row r="247" spans="1:1" ht="18" x14ac:dyDescent="0.35">
      <c r="A247" s="223"/>
    </row>
    <row r="248" spans="1:1" ht="18" x14ac:dyDescent="0.35">
      <c r="A248" s="223"/>
    </row>
    <row r="249" spans="1:1" ht="18" x14ac:dyDescent="0.35">
      <c r="A249" s="223"/>
    </row>
    <row r="250" spans="1:1" ht="18" x14ac:dyDescent="0.35">
      <c r="A250" s="223"/>
    </row>
    <row r="251" spans="1:1" x14ac:dyDescent="0.35">
      <c r="A251" s="214"/>
    </row>
    <row r="252" spans="1:1" ht="18" x14ac:dyDescent="0.35">
      <c r="A252" s="223"/>
    </row>
    <row r="253" spans="1:1" ht="18" x14ac:dyDescent="0.35">
      <c r="A253" s="223"/>
    </row>
    <row r="254" spans="1:1" ht="18" x14ac:dyDescent="0.35">
      <c r="A254" s="223"/>
    </row>
    <row r="255" spans="1:1" ht="18" x14ac:dyDescent="0.35">
      <c r="A255" s="223"/>
    </row>
    <row r="256" spans="1:1" ht="18" x14ac:dyDescent="0.35">
      <c r="A256" s="223"/>
    </row>
    <row r="257" spans="1:1" ht="18" x14ac:dyDescent="0.35">
      <c r="A257" s="223"/>
    </row>
    <row r="258" spans="1:1" ht="18" x14ac:dyDescent="0.35">
      <c r="A258" s="223"/>
    </row>
    <row r="259" spans="1:1" ht="18" x14ac:dyDescent="0.35">
      <c r="A259" s="223"/>
    </row>
    <row r="260" spans="1:1" ht="18" x14ac:dyDescent="0.35">
      <c r="A260" s="223"/>
    </row>
    <row r="261" spans="1:1" ht="18" x14ac:dyDescent="0.35">
      <c r="A261" s="223"/>
    </row>
    <row r="262" spans="1:1" ht="18" x14ac:dyDescent="0.35">
      <c r="A262" s="223"/>
    </row>
    <row r="263" spans="1:1" ht="18" x14ac:dyDescent="0.35">
      <c r="A263" s="223"/>
    </row>
    <row r="264" spans="1:1" x14ac:dyDescent="0.35">
      <c r="A264" s="214"/>
    </row>
    <row r="265" spans="1:1" ht="18" x14ac:dyDescent="0.35">
      <c r="A265" s="223"/>
    </row>
    <row r="266" spans="1:1" ht="18" x14ac:dyDescent="0.35">
      <c r="A266" s="223"/>
    </row>
    <row r="267" spans="1:1" ht="18" x14ac:dyDescent="0.35">
      <c r="A267" s="223"/>
    </row>
    <row r="268" spans="1:1" ht="18" x14ac:dyDescent="0.35">
      <c r="A268" s="223"/>
    </row>
    <row r="269" spans="1:1" ht="18" x14ac:dyDescent="0.35">
      <c r="A269" s="223"/>
    </row>
    <row r="270" spans="1:1" ht="18" x14ac:dyDescent="0.35">
      <c r="A270" s="223"/>
    </row>
    <row r="271" spans="1:1" ht="18" x14ac:dyDescent="0.35">
      <c r="A271" s="223"/>
    </row>
    <row r="272" spans="1:1" ht="18" x14ac:dyDescent="0.35">
      <c r="A272" s="223"/>
    </row>
    <row r="273" spans="1:1" ht="18" x14ac:dyDescent="0.35">
      <c r="A273" s="223"/>
    </row>
    <row r="274" spans="1:1" ht="18" x14ac:dyDescent="0.35">
      <c r="A274" s="223"/>
    </row>
    <row r="275" spans="1:1" ht="18" x14ac:dyDescent="0.35">
      <c r="A275" s="223"/>
    </row>
    <row r="276" spans="1:1" ht="18" x14ac:dyDescent="0.35">
      <c r="A276" s="223"/>
    </row>
    <row r="277" spans="1:1" x14ac:dyDescent="0.35">
      <c r="A277" s="214"/>
    </row>
    <row r="278" spans="1:1" ht="18" x14ac:dyDescent="0.35">
      <c r="A278" s="223"/>
    </row>
    <row r="279" spans="1:1" ht="18" x14ac:dyDescent="0.35">
      <c r="A279" s="223"/>
    </row>
    <row r="280" spans="1:1" ht="18" x14ac:dyDescent="0.35">
      <c r="A280" s="223"/>
    </row>
    <row r="281" spans="1:1" ht="18" x14ac:dyDescent="0.35">
      <c r="A281" s="223"/>
    </row>
    <row r="282" spans="1:1" ht="18" x14ac:dyDescent="0.35">
      <c r="A282" s="223"/>
    </row>
    <row r="283" spans="1:1" ht="18" x14ac:dyDescent="0.35">
      <c r="A283" s="223"/>
    </row>
    <row r="284" spans="1:1" ht="18" x14ac:dyDescent="0.35">
      <c r="A284" s="223"/>
    </row>
    <row r="285" spans="1:1" ht="18" x14ac:dyDescent="0.35">
      <c r="A285" s="223"/>
    </row>
    <row r="286" spans="1:1" ht="18" x14ac:dyDescent="0.35">
      <c r="A286" s="223"/>
    </row>
    <row r="287" spans="1:1" ht="18" x14ac:dyDescent="0.35">
      <c r="A287" s="223"/>
    </row>
    <row r="288" spans="1:1" ht="18" x14ac:dyDescent="0.35">
      <c r="A288" s="223"/>
    </row>
    <row r="289" spans="1:1" ht="18" x14ac:dyDescent="0.35">
      <c r="A289" s="223"/>
    </row>
    <row r="290" spans="1:1" x14ac:dyDescent="0.35">
      <c r="A290" s="214"/>
    </row>
    <row r="291" spans="1:1" ht="18" x14ac:dyDescent="0.35">
      <c r="A291" s="223"/>
    </row>
    <row r="292" spans="1:1" ht="18" x14ac:dyDescent="0.35">
      <c r="A292" s="223"/>
    </row>
    <row r="293" spans="1:1" ht="18" x14ac:dyDescent="0.35">
      <c r="A293" s="223"/>
    </row>
    <row r="294" spans="1:1" ht="18" x14ac:dyDescent="0.35">
      <c r="A294" s="223"/>
    </row>
    <row r="295" spans="1:1" ht="18" x14ac:dyDescent="0.35">
      <c r="A295" s="223"/>
    </row>
    <row r="296" spans="1:1" ht="18" x14ac:dyDescent="0.35">
      <c r="A296" s="223"/>
    </row>
    <row r="297" spans="1:1" ht="18" x14ac:dyDescent="0.35">
      <c r="A297" s="223"/>
    </row>
    <row r="298" spans="1:1" ht="18" x14ac:dyDescent="0.35">
      <c r="A298" s="223"/>
    </row>
    <row r="299" spans="1:1" ht="18" x14ac:dyDescent="0.35">
      <c r="A299" s="223"/>
    </row>
    <row r="300" spans="1:1" ht="18" x14ac:dyDescent="0.35">
      <c r="A300" s="223"/>
    </row>
    <row r="301" spans="1:1" ht="18" x14ac:dyDescent="0.35">
      <c r="A301" s="223"/>
    </row>
    <row r="302" spans="1:1" ht="18" x14ac:dyDescent="0.35">
      <c r="A302" s="223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85211-E3EF-4462-8EF7-B98D9AD79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73beb7-5857-4685-be1f-d57550cc96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2022-08-24T07:43:30Z</cp:lastPrinted>
  <dcterms:created xsi:type="dcterms:W3CDTF">2012-09-17T22:36:33Z</dcterms:created>
  <dcterms:modified xsi:type="dcterms:W3CDTF">2022-09-06T05:54:01Z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