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TED18003\OneDrive - CPGPLC\Desktop\"/>
    </mc:Choice>
  </mc:AlternateContent>
  <xr:revisionPtr revIDLastSave="0" documentId="8_{5E04190E-B8F2-4CDE-B3F1-3243A79E1C86}" xr6:coauthVersionLast="46" xr6:coauthVersionMax="46" xr10:uidLastSave="{00000000-0000-0000-0000-000000000000}"/>
  <bookViews>
    <workbookView xWindow="-110" yWindow="-110" windowWidth="19420" windowHeight="10420" tabRatio="611" activeTab="11" xr2:uid="{00000000-000D-0000-FFFF-FFFF00000000}"/>
  </bookViews>
  <sheets>
    <sheet name="OCK" sheetId="6" r:id="rId1"/>
    <sheet name="SBT" sheetId="9" r:id="rId2"/>
    <sheet name="MRT" sheetId="10" r:id="rId3"/>
    <sheet name="NSN" sheetId="11" r:id="rId4"/>
    <sheet name="MYS" sheetId="12" r:id="rId5"/>
    <sheet name="HZN" sheetId="13" r:id="rId6"/>
    <sheet name="TMZ" sheetId="14" r:id="rId7"/>
    <sheet name="AGU" sheetId="15" r:id="rId8"/>
    <sheet name="EYL" sheetId="16" r:id="rId9"/>
    <sheet name="EKM" sheetId="17" r:id="rId10"/>
    <sheet name="KSM" sheetId="18" r:id="rId11"/>
    <sheet name="ARK" sheetId="19" r:id="rId12"/>
  </sheets>
  <definedNames>
    <definedName name="AprSun1">DATE(CalendarYear,4,1)-WEEKDAY(DATE(CalendarYear,4,1))+1</definedName>
    <definedName name="AugSun1">DATE(CalendarYear,8,1)-WEEKDAY(DATE(CalendarYear,8,1))+1</definedName>
    <definedName name="CalendarYear">OCK!$R$5</definedName>
    <definedName name="DecSun1">DATE(CalendarYear,12,1)-WEEKDAY(DATE(CalendarYear,12,1))+1</definedName>
    <definedName name="FebSun1">DATE(CalendarYear,2,1)-WEEKDAY(DATE(CalendarYear,2,1))+1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_xlnm.Print_Area" localSheetId="7">AGU!$A$1:$P$88</definedName>
    <definedName name="_xlnm.Print_Area" localSheetId="11">ARK!$A$1:$P$88</definedName>
    <definedName name="_xlnm.Print_Area" localSheetId="9">EKM!$A$1:$P$88</definedName>
    <definedName name="_xlnm.Print_Area" localSheetId="8">EYL!$A$1:$P$88</definedName>
    <definedName name="_xlnm.Print_Area" localSheetId="5">HZN!$A$1:$P$88</definedName>
    <definedName name="_xlnm.Print_Area" localSheetId="10">KSM!$A$1:$P$88</definedName>
    <definedName name="_xlnm.Print_Area" localSheetId="2">MRT!$A$1:$P$88</definedName>
    <definedName name="_xlnm.Print_Area" localSheetId="4">MYS!$A$1:$P$88</definedName>
    <definedName name="_xlnm.Print_Area" localSheetId="3">NSN!$A$1:$P$88</definedName>
    <definedName name="_xlnm.Print_Area" localSheetId="0">OCK!$A$1:$P$88</definedName>
    <definedName name="_xlnm.Print_Area" localSheetId="1">SBT!$A$1:$P$88</definedName>
    <definedName name="_xlnm.Print_Area" localSheetId="6">TMZ!$A$1:$P$88</definedName>
    <definedName name="SepSun1">DATE(CalendarYear,9,1)-WEEKDAY(DATE(CalendarYear,9,1))+1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1" i="9" l="1"/>
  <c r="M21" i="9"/>
  <c r="K21" i="9"/>
  <c r="C34" i="9" l="1"/>
  <c r="E34" i="9"/>
  <c r="G34" i="9"/>
  <c r="I34" i="9"/>
  <c r="K34" i="9"/>
  <c r="I6" i="19" l="1"/>
  <c r="I6" i="18"/>
  <c r="I6" i="17"/>
  <c r="I6" i="16"/>
  <c r="I6" i="15"/>
  <c r="I6" i="14"/>
  <c r="I6" i="13"/>
  <c r="I6" i="12"/>
  <c r="I6" i="11"/>
  <c r="E73" i="10"/>
  <c r="C73" i="10"/>
  <c r="O60" i="10"/>
  <c r="E73" i="6"/>
  <c r="C73" i="6"/>
  <c r="O60" i="6"/>
  <c r="M60" i="6"/>
  <c r="K60" i="6"/>
  <c r="I60" i="6"/>
  <c r="E73" i="9"/>
  <c r="C73" i="9"/>
  <c r="O60" i="9"/>
  <c r="M60" i="9"/>
  <c r="K60" i="9"/>
  <c r="I60" i="9"/>
  <c r="I6" i="10"/>
  <c r="I6" i="9"/>
  <c r="G60" i="6"/>
  <c r="E60" i="6"/>
  <c r="C60" i="6"/>
  <c r="O47" i="6"/>
  <c r="M47" i="6"/>
  <c r="K47" i="6"/>
  <c r="I47" i="6"/>
  <c r="G47" i="6"/>
  <c r="E47" i="6"/>
  <c r="C47" i="6"/>
  <c r="O34" i="6"/>
  <c r="M34" i="6"/>
  <c r="K34" i="6"/>
  <c r="I34" i="6"/>
  <c r="G34" i="6"/>
  <c r="E34" i="6"/>
  <c r="C34" i="6"/>
  <c r="O21" i="6"/>
  <c r="M21" i="6"/>
  <c r="K21" i="6"/>
  <c r="I21" i="6"/>
  <c r="G21" i="6"/>
  <c r="E21" i="6"/>
  <c r="C21" i="6"/>
  <c r="O8" i="6"/>
  <c r="M8" i="6"/>
  <c r="K8" i="6"/>
  <c r="I8" i="6"/>
  <c r="G8" i="6"/>
  <c r="E8" i="6"/>
  <c r="C8" i="6"/>
  <c r="I6" i="6"/>
  <c r="E73" i="11"/>
  <c r="C73" i="11"/>
  <c r="O60" i="11"/>
  <c r="M60" i="11"/>
  <c r="K60" i="11"/>
  <c r="I60" i="11"/>
  <c r="G60" i="11"/>
  <c r="E60" i="11"/>
  <c r="C60" i="11"/>
  <c r="O47" i="11"/>
  <c r="M47" i="11"/>
  <c r="K47" i="11"/>
  <c r="I47" i="11"/>
  <c r="G47" i="11"/>
  <c r="E47" i="11"/>
  <c r="C47" i="11"/>
  <c r="O34" i="11"/>
  <c r="M34" i="11"/>
  <c r="K34" i="11"/>
  <c r="I34" i="11"/>
  <c r="G34" i="11"/>
  <c r="E34" i="11"/>
  <c r="C34" i="11"/>
  <c r="O21" i="11"/>
  <c r="M21" i="11"/>
  <c r="K21" i="11"/>
  <c r="I21" i="11"/>
  <c r="G21" i="11"/>
  <c r="E21" i="11"/>
  <c r="C21" i="11"/>
  <c r="O8" i="11"/>
  <c r="M8" i="11"/>
  <c r="K8" i="11"/>
  <c r="I8" i="11"/>
  <c r="G8" i="11"/>
  <c r="E8" i="11"/>
  <c r="C8" i="11"/>
  <c r="E73" i="12"/>
  <c r="C73" i="12"/>
  <c r="O60" i="12"/>
  <c r="M60" i="12"/>
  <c r="K60" i="12"/>
  <c r="I60" i="12"/>
  <c r="G60" i="12"/>
  <c r="E60" i="12"/>
  <c r="C60" i="12"/>
  <c r="O47" i="12"/>
  <c r="M47" i="12"/>
  <c r="K47" i="12"/>
  <c r="I47" i="12"/>
  <c r="G47" i="12"/>
  <c r="E47" i="12"/>
  <c r="C47" i="12"/>
  <c r="O34" i="12"/>
  <c r="M34" i="12"/>
  <c r="K34" i="12"/>
  <c r="I34" i="12"/>
  <c r="G34" i="12"/>
  <c r="E34" i="12"/>
  <c r="C34" i="12"/>
  <c r="O21" i="12"/>
  <c r="M21" i="12"/>
  <c r="K21" i="12"/>
  <c r="I21" i="12"/>
  <c r="G21" i="12"/>
  <c r="E21" i="12"/>
  <c r="C21" i="12"/>
  <c r="O8" i="12"/>
  <c r="M8" i="12"/>
  <c r="K8" i="12"/>
  <c r="I8" i="12"/>
  <c r="G8" i="12"/>
  <c r="E8" i="12"/>
  <c r="C8" i="12"/>
  <c r="E73" i="13"/>
  <c r="C73" i="13"/>
  <c r="O60" i="13"/>
  <c r="M60" i="13"/>
  <c r="K60" i="13"/>
  <c r="I60" i="13"/>
  <c r="G60" i="13"/>
  <c r="E60" i="13"/>
  <c r="C60" i="13"/>
  <c r="O47" i="13"/>
  <c r="M47" i="13"/>
  <c r="K47" i="13"/>
  <c r="I47" i="13"/>
  <c r="G47" i="13"/>
  <c r="E47" i="13"/>
  <c r="C47" i="13"/>
  <c r="O34" i="13"/>
  <c r="M34" i="13"/>
  <c r="K34" i="13"/>
  <c r="I34" i="13"/>
  <c r="G34" i="13"/>
  <c r="E34" i="13"/>
  <c r="C34" i="13"/>
  <c r="O21" i="13"/>
  <c r="M21" i="13"/>
  <c r="K21" i="13"/>
  <c r="I21" i="13"/>
  <c r="G21" i="13"/>
  <c r="E21" i="13"/>
  <c r="C21" i="13"/>
  <c r="O8" i="13"/>
  <c r="M8" i="13"/>
  <c r="K8" i="13"/>
  <c r="I8" i="13"/>
  <c r="G8" i="13"/>
  <c r="E8" i="13"/>
  <c r="C8" i="13"/>
  <c r="E73" i="14"/>
  <c r="C73" i="14"/>
  <c r="O60" i="14"/>
  <c r="M60" i="14"/>
  <c r="K60" i="14"/>
  <c r="I60" i="14"/>
  <c r="G60" i="14"/>
  <c r="E60" i="14"/>
  <c r="C60" i="14"/>
  <c r="O47" i="14"/>
  <c r="M47" i="14"/>
  <c r="K47" i="14"/>
  <c r="I47" i="14"/>
  <c r="G47" i="14"/>
  <c r="E47" i="14"/>
  <c r="C47" i="14"/>
  <c r="O34" i="14"/>
  <c r="M34" i="14"/>
  <c r="K34" i="14"/>
  <c r="I34" i="14"/>
  <c r="G34" i="14"/>
  <c r="E34" i="14"/>
  <c r="C34" i="14"/>
  <c r="O21" i="14"/>
  <c r="M21" i="14"/>
  <c r="K21" i="14"/>
  <c r="I21" i="14"/>
  <c r="G21" i="14"/>
  <c r="E21" i="14"/>
  <c r="C21" i="14"/>
  <c r="O8" i="14"/>
  <c r="M8" i="14"/>
  <c r="K8" i="14"/>
  <c r="I8" i="14"/>
  <c r="G8" i="14"/>
  <c r="E8" i="14"/>
  <c r="C8" i="14"/>
  <c r="E73" i="15"/>
  <c r="C73" i="15"/>
  <c r="O60" i="15"/>
  <c r="M60" i="15"/>
  <c r="K60" i="15"/>
  <c r="I60" i="15"/>
  <c r="G60" i="15"/>
  <c r="E60" i="15"/>
  <c r="C60" i="15"/>
  <c r="O47" i="15"/>
  <c r="M47" i="15"/>
  <c r="K47" i="15"/>
  <c r="I47" i="15"/>
  <c r="G47" i="15"/>
  <c r="E47" i="15"/>
  <c r="C47" i="15"/>
  <c r="O34" i="15"/>
  <c r="M34" i="15"/>
  <c r="K34" i="15"/>
  <c r="I34" i="15"/>
  <c r="G34" i="15"/>
  <c r="E34" i="15"/>
  <c r="C34" i="15"/>
  <c r="O21" i="15"/>
  <c r="M21" i="15"/>
  <c r="K21" i="15"/>
  <c r="I21" i="15"/>
  <c r="G21" i="15"/>
  <c r="E21" i="15"/>
  <c r="C21" i="15"/>
  <c r="O8" i="15"/>
  <c r="M8" i="15"/>
  <c r="K8" i="15"/>
  <c r="I8" i="15"/>
  <c r="G8" i="15"/>
  <c r="E8" i="15"/>
  <c r="C8" i="15"/>
  <c r="E73" i="16"/>
  <c r="C73" i="16"/>
  <c r="O60" i="16"/>
  <c r="M60" i="16"/>
  <c r="K60" i="16"/>
  <c r="I60" i="16"/>
  <c r="G60" i="16"/>
  <c r="E60" i="16"/>
  <c r="C60" i="16"/>
  <c r="O47" i="16"/>
  <c r="M47" i="16"/>
  <c r="K47" i="16"/>
  <c r="I47" i="16"/>
  <c r="G47" i="16"/>
  <c r="E47" i="16"/>
  <c r="C47" i="16"/>
  <c r="O34" i="16"/>
  <c r="M34" i="16"/>
  <c r="K34" i="16"/>
  <c r="I34" i="16"/>
  <c r="G34" i="16"/>
  <c r="E34" i="16"/>
  <c r="C34" i="16"/>
  <c r="O21" i="16"/>
  <c r="M21" i="16"/>
  <c r="K21" i="16"/>
  <c r="I21" i="16"/>
  <c r="G21" i="16"/>
  <c r="E21" i="16"/>
  <c r="C21" i="16"/>
  <c r="O8" i="16"/>
  <c r="M8" i="16"/>
  <c r="K8" i="16"/>
  <c r="I8" i="16"/>
  <c r="G8" i="16"/>
  <c r="E8" i="16"/>
  <c r="C8" i="16"/>
  <c r="E73" i="17"/>
  <c r="C73" i="17"/>
  <c r="O60" i="17"/>
  <c r="M60" i="17"/>
  <c r="K60" i="17"/>
  <c r="I60" i="17"/>
  <c r="G60" i="17"/>
  <c r="E60" i="17"/>
  <c r="C60" i="17"/>
  <c r="O47" i="17"/>
  <c r="M47" i="17"/>
  <c r="K47" i="17"/>
  <c r="I47" i="17"/>
  <c r="G47" i="17"/>
  <c r="E47" i="17"/>
  <c r="O34" i="17"/>
  <c r="M34" i="17"/>
  <c r="K34" i="17"/>
  <c r="I34" i="17"/>
  <c r="G34" i="17"/>
  <c r="E34" i="17"/>
  <c r="C34" i="17"/>
  <c r="O21" i="17"/>
  <c r="M21" i="17"/>
  <c r="K21" i="17"/>
  <c r="I21" i="17"/>
  <c r="G21" i="17"/>
  <c r="E21" i="17"/>
  <c r="C21" i="17"/>
  <c r="O8" i="17"/>
  <c r="M8" i="17"/>
  <c r="K8" i="17"/>
  <c r="I8" i="17"/>
  <c r="G8" i="17"/>
  <c r="E8" i="17"/>
  <c r="C8" i="17"/>
  <c r="E73" i="18"/>
  <c r="C73" i="18"/>
  <c r="O60" i="18"/>
  <c r="M60" i="18"/>
  <c r="K60" i="18"/>
  <c r="I60" i="18"/>
  <c r="E60" i="18"/>
  <c r="C60" i="18"/>
  <c r="O47" i="18"/>
  <c r="M47" i="18"/>
  <c r="K47" i="18"/>
  <c r="I47" i="18"/>
  <c r="E47" i="18"/>
  <c r="C47" i="18"/>
  <c r="O34" i="18"/>
  <c r="M34" i="18"/>
  <c r="K34" i="18"/>
  <c r="I34" i="18"/>
  <c r="G34" i="18"/>
  <c r="E34" i="18"/>
  <c r="C34" i="18"/>
  <c r="O21" i="18"/>
  <c r="M21" i="18"/>
  <c r="K21" i="18"/>
  <c r="I21" i="18"/>
  <c r="G21" i="18"/>
  <c r="E21" i="18"/>
  <c r="C21" i="18"/>
  <c r="O8" i="18"/>
  <c r="M8" i="18"/>
  <c r="K8" i="18"/>
  <c r="I8" i="18"/>
  <c r="G8" i="18"/>
  <c r="E8" i="18"/>
  <c r="C8" i="18"/>
  <c r="E73" i="19"/>
  <c r="C73" i="19"/>
  <c r="O60" i="19"/>
  <c r="M60" i="19"/>
  <c r="K60" i="19"/>
  <c r="I60" i="19"/>
  <c r="G60" i="19"/>
  <c r="E60" i="19"/>
  <c r="C60" i="19"/>
  <c r="O47" i="19"/>
  <c r="M47" i="19"/>
  <c r="K47" i="19"/>
  <c r="I47" i="19"/>
  <c r="G47" i="19"/>
  <c r="E47" i="19"/>
  <c r="C47" i="19"/>
  <c r="O34" i="19"/>
  <c r="M34" i="19"/>
  <c r="K34" i="19"/>
  <c r="I34" i="19"/>
  <c r="G34" i="19"/>
  <c r="E34" i="19"/>
  <c r="C34" i="19"/>
  <c r="O21" i="19"/>
  <c r="M21" i="19"/>
  <c r="K21" i="19"/>
  <c r="I21" i="19"/>
  <c r="G21" i="19"/>
  <c r="E21" i="19"/>
  <c r="C21" i="19"/>
  <c r="O8" i="19"/>
  <c r="M8" i="19"/>
  <c r="K8" i="19"/>
  <c r="I8" i="19"/>
  <c r="G8" i="19"/>
  <c r="E8" i="19"/>
  <c r="C8" i="19"/>
  <c r="M60" i="10"/>
  <c r="K60" i="10"/>
  <c r="I60" i="10"/>
  <c r="G60" i="10"/>
  <c r="E60" i="10"/>
  <c r="C60" i="10"/>
  <c r="O47" i="10"/>
  <c r="M47" i="10"/>
  <c r="K47" i="10"/>
  <c r="I47" i="10"/>
  <c r="G47" i="10"/>
  <c r="E47" i="10"/>
  <c r="C47" i="10"/>
  <c r="O34" i="10"/>
  <c r="M34" i="10"/>
  <c r="K34" i="10"/>
  <c r="I34" i="10"/>
  <c r="G34" i="10"/>
  <c r="E34" i="10"/>
  <c r="C34" i="10"/>
  <c r="O21" i="10"/>
  <c r="M21" i="10"/>
  <c r="K21" i="10"/>
  <c r="I21" i="10"/>
  <c r="G21" i="10"/>
  <c r="E21" i="10"/>
  <c r="C21" i="10"/>
  <c r="O8" i="10"/>
  <c r="M8" i="10"/>
  <c r="K8" i="10"/>
  <c r="I8" i="10"/>
  <c r="G8" i="10"/>
  <c r="E8" i="10"/>
  <c r="C8" i="10"/>
  <c r="G60" i="9"/>
  <c r="E60" i="9"/>
  <c r="C60" i="9"/>
  <c r="O47" i="9"/>
  <c r="M47" i="9"/>
  <c r="K47" i="9"/>
  <c r="I47" i="9"/>
  <c r="G47" i="9"/>
  <c r="E47" i="9"/>
  <c r="C47" i="9"/>
  <c r="O34" i="9"/>
  <c r="M34" i="9"/>
  <c r="I21" i="9"/>
  <c r="G21" i="9"/>
  <c r="E21" i="9"/>
  <c r="C21" i="9"/>
  <c r="O8" i="9"/>
  <c r="M8" i="9"/>
  <c r="K8" i="9"/>
  <c r="I8" i="9"/>
  <c r="G8" i="9"/>
  <c r="E8" i="9"/>
  <c r="C8" i="9"/>
</calcChain>
</file>

<file path=xl/sharedStrings.xml><?xml version="1.0" encoding="utf-8"?>
<sst xmlns="http://schemas.openxmlformats.org/spreadsheetml/2006/main" count="1910" uniqueCount="111">
  <si>
    <t>OCAK</t>
  </si>
  <si>
    <t>ÇORBA</t>
  </si>
  <si>
    <t>(SEÇMELİ)</t>
  </si>
  <si>
    <t>ANA YEMEK</t>
  </si>
  <si>
    <t>YARDIMCI YEMEK</t>
  </si>
  <si>
    <t xml:space="preserve">TOPLAM KALORİ </t>
  </si>
  <si>
    <t>SALATA BÜFESİ</t>
  </si>
  <si>
    <t>PAZARTESİ</t>
  </si>
  <si>
    <t>SALI</t>
  </si>
  <si>
    <t>ÇARŞAMBA</t>
  </si>
  <si>
    <t>PERŞEMBE</t>
  </si>
  <si>
    <t>CUMA</t>
  </si>
  <si>
    <t>CUMARTESİ</t>
  </si>
  <si>
    <t>PAZAR</t>
  </si>
  <si>
    <t>NOTLAR: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</si>
  <si>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</si>
  <si>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</si>
  <si>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</si>
  <si>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</si>
  <si>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</si>
  <si>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</si>
  <si>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</si>
  <si>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</si>
  <si>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</si>
  <si>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</si>
  <si>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</si>
  <si>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TAKVİMİ GÜNCELLEMEK İÇİN SENEYİ SEÇİNİZ</t>
  </si>
  <si>
    <t>DEĞERLER GÜNLÜK 2500 KCAL ENERJİ GEREKSİNİMİ ÜZERİNDEN HESAPLANMIŞTIR.</t>
  </si>
  <si>
    <t>TÜM ÜRÜNLER/GIDALAR ESER MİKTARDA TÜM ALERJENLERİ İÇEREBİLİR.</t>
  </si>
  <si>
    <t>KCAL</t>
  </si>
  <si>
    <t>TATİL</t>
  </si>
  <si>
    <t>AYRAN</t>
  </si>
  <si>
    <t>MENEMEN</t>
  </si>
  <si>
    <t>MİLFÖY BÖREK</t>
  </si>
  <si>
    <t>MEYVE SUYU</t>
  </si>
  <si>
    <t>,</t>
  </si>
  <si>
    <t>TEDARİK VE MENÜ UYUMSUZLUĞU DURUMLARINDA MENÜ DE DEĞİŞİKLİK OLABİLİR.</t>
  </si>
  <si>
    <t>KAHVALTI</t>
  </si>
  <si>
    <t>KÜP PATATES</t>
  </si>
  <si>
    <t>DOMATES/SALATALIK</t>
  </si>
  <si>
    <t>SİYAH ZEYTİN</t>
  </si>
  <si>
    <t>REÇEL</t>
  </si>
  <si>
    <t>SÜT</t>
  </si>
  <si>
    <t>İKİNDİ</t>
  </si>
  <si>
    <t>CUP KEK</t>
  </si>
  <si>
    <t>ÇORUM SİMİDİ</t>
  </si>
  <si>
    <t>DOMATES SALATALIK</t>
  </si>
  <si>
    <t>YEŞİL ZEYTİN</t>
  </si>
  <si>
    <t>BEYAZ PEYNİR</t>
  </si>
  <si>
    <t>MEYVE ÇAYI</t>
  </si>
  <si>
    <t>TUZLU KUARBİYE</t>
  </si>
  <si>
    <t>PİŞİ</t>
  </si>
  <si>
    <t>OMLET</t>
  </si>
  <si>
    <t>KREM PEYNİR</t>
  </si>
  <si>
    <t>BAL</t>
  </si>
  <si>
    <t>PEYNİRLİ PUF BÖREĞİ</t>
  </si>
  <si>
    <t>HELVA</t>
  </si>
  <si>
    <t>KUŞBURNU ÇAYI</t>
  </si>
  <si>
    <t>IHLAMUR ÇAYI</t>
  </si>
  <si>
    <t>TATLI KURABİYE</t>
  </si>
  <si>
    <t>KOMPOSTO</t>
  </si>
  <si>
    <t>ELMA ÇAYI</t>
  </si>
  <si>
    <t>SİGARA BÖREĞİ</t>
  </si>
  <si>
    <t>KAŞAR PEYNİRİ</t>
  </si>
  <si>
    <t>FINDIKLI CUP KEK</t>
  </si>
  <si>
    <t>HAŞLANMIŞ YUMURTA</t>
  </si>
  <si>
    <t>SALATALIK SÖĞÜŞ</t>
  </si>
  <si>
    <t>SADE POĞAÇA</t>
  </si>
  <si>
    <t>KAKAOLU FINDIK EZME</t>
  </si>
  <si>
    <t>PATATESLİ MİNİ BÖREK</t>
  </si>
  <si>
    <t>PATATESLİ KATMER</t>
  </si>
  <si>
    <t>VİŞNELİ CUP KEK</t>
  </si>
  <si>
    <t xml:space="preserve">SİMİT </t>
  </si>
  <si>
    <t>TUZLU KURABİYE</t>
  </si>
  <si>
    <t>HAVUÇLU KEK</t>
  </si>
  <si>
    <t>SOSİS</t>
  </si>
  <si>
    <t>KREM PEYNİRİ</t>
  </si>
  <si>
    <t>PATATESLİ POĞAÇA</t>
  </si>
  <si>
    <t>DOMATES  SALATALIK</t>
  </si>
  <si>
    <t>KAŞAR PEYNİR</t>
  </si>
  <si>
    <t>PASTA</t>
  </si>
  <si>
    <t>KAHVALTI-İKİNDİ</t>
  </si>
  <si>
    <t>DOMATES SÖĞÜŞ</t>
  </si>
  <si>
    <t>KEK</t>
  </si>
  <si>
    <t>MEYVE</t>
  </si>
  <si>
    <t xml:space="preserve">KÜP PATATES </t>
  </si>
  <si>
    <t>TAHİN HELVA</t>
  </si>
  <si>
    <t>DOMATES</t>
  </si>
  <si>
    <t>KARIŞIK ZEYTİN</t>
  </si>
  <si>
    <t>POĞAÇA</t>
  </si>
  <si>
    <t>PATATES KAVURMA</t>
  </si>
  <si>
    <t>VİŞNE KOMPOSTO</t>
  </si>
  <si>
    <t xml:space="preserve">DOMATES SALATALIK </t>
  </si>
  <si>
    <t>ÇÖREK</t>
  </si>
  <si>
    <t>ÜZÜM KOMPOSTO</t>
  </si>
  <si>
    <t>IHLAMUR</t>
  </si>
  <si>
    <t>FINDIKLI KEK</t>
  </si>
  <si>
    <t>PARMAK PATATES</t>
  </si>
  <si>
    <t>SALATALIK</t>
  </si>
  <si>
    <t>ELMA KOMPOSTO</t>
  </si>
  <si>
    <t>HAVUÇ ÇUBUKLARI</t>
  </si>
  <si>
    <t>ÇİKOLATALI MİLFÖY</t>
  </si>
  <si>
    <t>DOMATES SALATALIK,</t>
  </si>
  <si>
    <t>ÇİLEK REÇELİ</t>
  </si>
  <si>
    <t>TEDARİK VE MENÜ UYUMSUZLUĞU OLDUĞUNDA DEĞİŞİKLİK YAPILABİLİR!!</t>
  </si>
  <si>
    <t>ÜZÜMLÜ KEK</t>
  </si>
  <si>
    <t>TEDARİK VE MENÜ UYUMSUZLUĞU GİBİ DURUMLARDA MENÜDE DEĞİŞİKLİK OLABİLİR!!!</t>
  </si>
  <si>
    <t>SALAM</t>
  </si>
  <si>
    <t>MİLFÖY</t>
  </si>
  <si>
    <t>KAKAOLU KEK</t>
  </si>
  <si>
    <t>MİNİ BÖREK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</si>
</sst>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d"/>
    <numFmt numFmtId="165" formatCode="mmmm\ yyyy"/>
    <numFmt numFmtId="166" formatCode="mmmm"/>
  </numFmts>
  <fonts count="64" x14ac:knownFonts="1">
    <font>
      <sz val="12"/>
      <color theme="1"/>
      <name val="Cambria"/>
      <family val="2"/>
      <scheme val="minor"/>
    </font>
    <font>
      <b/>
      <sz val="11"/>
      <color theme="0"/>
      <name val="Cambria"/>
      <family val="2"/>
      <scheme val="minor"/>
    </font>
    <font>
      <sz val="11"/>
      <name val="Cambria"/>
      <family val="2"/>
      <scheme val="minor"/>
    </font>
    <font>
      <sz val="10"/>
      <color indexed="63"/>
      <name val="Cambria"/>
      <family val="4"/>
      <scheme val="minor"/>
    </font>
    <font>
      <sz val="10"/>
      <name val="Century Gothic"/>
      <family val="2"/>
    </font>
    <font>
      <b/>
      <sz val="28"/>
      <color theme="1" tint="0.34998626667073579"/>
      <name val="Cambria"/>
      <family val="2"/>
      <scheme val="minor"/>
    </font>
    <font>
      <sz val="11"/>
      <color theme="0" tint="-0.499984740745262"/>
      <name val="Cambria"/>
      <family val="2"/>
      <scheme val="minor"/>
    </font>
    <font>
      <u/>
      <sz val="12"/>
      <color theme="10"/>
      <name val="Cambria"/>
      <family val="2"/>
      <scheme val="minor"/>
    </font>
    <font>
      <sz val="40"/>
      <color theme="8"/>
      <name val="Cambria"/>
      <family val="2"/>
      <scheme val="minor"/>
    </font>
    <font>
      <b/>
      <sz val="36"/>
      <name val="Cambria"/>
      <family val="1"/>
      <charset val="162"/>
      <scheme val="minor"/>
    </font>
    <font>
      <sz val="28"/>
      <name val="Cambria"/>
      <family val="2"/>
      <scheme val="minor"/>
    </font>
    <font>
      <sz val="26"/>
      <name val="Cambria"/>
      <family val="2"/>
      <scheme val="minor"/>
    </font>
    <font>
      <sz val="22"/>
      <color theme="8"/>
      <name val="Cambria"/>
      <family val="2"/>
      <scheme val="minor"/>
    </font>
    <font>
      <b/>
      <sz val="12"/>
      <color rgb="FFB61E53"/>
      <name val="Cambria"/>
      <family val="1"/>
      <charset val="162"/>
      <scheme val="minor"/>
    </font>
    <font>
      <sz val="11"/>
      <color rgb="FFB61E53"/>
      <name val="Cambria"/>
      <family val="1"/>
      <charset val="162"/>
      <scheme val="minor"/>
    </font>
    <font>
      <sz val="40"/>
      <color rgb="FFB61E53"/>
      <name val="Cambria"/>
      <family val="1"/>
      <charset val="162"/>
      <scheme val="minor"/>
    </font>
    <font>
      <u/>
      <sz val="12"/>
      <color rgb="FFB61E53"/>
      <name val="Cambria"/>
      <family val="1"/>
      <charset val="162"/>
      <scheme val="minor"/>
    </font>
    <font>
      <b/>
      <sz val="11"/>
      <name val="Cambria"/>
      <family val="1"/>
      <charset val="162"/>
      <scheme val="minor"/>
    </font>
    <font>
      <sz val="14"/>
      <name val="Cambria"/>
      <family val="2"/>
      <scheme val="minor"/>
    </font>
    <font>
      <sz val="11"/>
      <color theme="1"/>
      <name val="Cambria"/>
      <family val="2"/>
      <scheme val="minor"/>
    </font>
    <font>
      <sz val="11"/>
      <color theme="8" tint="-0.499984740745262"/>
      <name val="Cambria"/>
      <family val="2"/>
      <scheme val="minor"/>
    </font>
    <font>
      <sz val="11"/>
      <name val="Century Gothic"/>
      <family val="2"/>
    </font>
    <font>
      <sz val="11"/>
      <color theme="1"/>
      <name val="Cambria"/>
      <family val="1"/>
      <charset val="162"/>
      <scheme val="minor"/>
    </font>
    <font>
      <u/>
      <sz val="11"/>
      <color rgb="FFB61E53"/>
      <name val="Cambria"/>
      <family val="1"/>
      <charset val="162"/>
      <scheme val="minor"/>
    </font>
    <font>
      <b/>
      <u/>
      <sz val="11"/>
      <color rgb="FFB61E53"/>
      <name val="Cambria"/>
      <family val="1"/>
      <charset val="162"/>
      <scheme val="minor"/>
    </font>
    <font>
      <sz val="28"/>
      <color rgb="FFB61E53"/>
      <name val="Cambria"/>
      <family val="2"/>
      <scheme val="minor"/>
    </font>
    <font>
      <sz val="28"/>
      <color rgb="FFFFFF00"/>
      <name val="Cambria"/>
      <family val="2"/>
      <scheme val="minor"/>
    </font>
    <font>
      <sz val="16"/>
      <color theme="1" tint="0.249977111117893"/>
      <name val="Cambria"/>
      <family val="2"/>
      <scheme val="minor"/>
    </font>
    <font>
      <sz val="16"/>
      <color theme="1" tint="0.249977111117893"/>
      <name val="Century Gothic"/>
      <family val="2"/>
    </font>
    <font>
      <b/>
      <sz val="16"/>
      <color theme="1" tint="0.249977111117893"/>
      <name val="Cambria"/>
      <family val="1"/>
      <charset val="162"/>
      <scheme val="minor"/>
    </font>
    <font>
      <b/>
      <sz val="12"/>
      <color theme="1"/>
      <name val="Calibri"/>
      <family val="2"/>
      <charset val="162"/>
    </font>
    <font>
      <sz val="12"/>
      <color theme="1"/>
      <name val="Calibri"/>
      <family val="2"/>
      <charset val="162"/>
    </font>
    <font>
      <b/>
      <sz val="14"/>
      <color theme="1"/>
      <name val="Calibri"/>
      <family val="2"/>
      <charset val="162"/>
    </font>
    <font>
      <b/>
      <sz val="36"/>
      <color rgb="FFF9A23B"/>
      <name val="Cambria"/>
      <family val="1"/>
      <charset val="162"/>
      <scheme val="minor"/>
    </font>
    <font>
      <b/>
      <sz val="16"/>
      <color rgb="FF00927E"/>
      <name val="Cambria"/>
      <family val="1"/>
      <charset val="162"/>
      <scheme val="minor"/>
    </font>
    <font>
      <b/>
      <sz val="12"/>
      <color rgb="FF0067A6"/>
      <name val="Cambria"/>
      <family val="1"/>
      <charset val="162"/>
      <scheme val="minor"/>
    </font>
    <font>
      <b/>
      <sz val="14"/>
      <color rgb="FF0067A6"/>
      <name val="Cambria"/>
      <family val="1"/>
      <charset val="162"/>
      <scheme val="minor"/>
    </font>
    <font>
      <sz val="14"/>
      <color theme="1"/>
      <name val="Calibri"/>
      <family val="2"/>
      <charset val="162"/>
    </font>
    <font>
      <sz val="14"/>
      <color theme="1" tint="0.249977111117893"/>
      <name val="Cambria"/>
      <family val="2"/>
      <scheme val="minor"/>
    </font>
    <font>
      <sz val="14"/>
      <color theme="1"/>
      <name val="Cambria"/>
      <family val="1"/>
      <charset val="162"/>
      <scheme val="minor"/>
    </font>
    <font>
      <u/>
      <sz val="14"/>
      <color rgb="FFB61E53"/>
      <name val="Cambria"/>
      <family val="1"/>
      <charset val="162"/>
      <scheme val="minor"/>
    </font>
    <font>
      <sz val="14"/>
      <color rgb="FFFF0000"/>
      <name val="Cambria"/>
      <family val="1"/>
      <charset val="162"/>
      <scheme val="minor"/>
    </font>
    <font>
      <b/>
      <u/>
      <sz val="14"/>
      <color rgb="FFB61E53"/>
      <name val="Cambria"/>
      <family val="1"/>
      <charset val="162"/>
      <scheme val="minor"/>
    </font>
    <font>
      <sz val="16"/>
      <name val="Cambria"/>
      <family val="2"/>
      <scheme val="minor"/>
    </font>
    <font>
      <sz val="16"/>
      <color rgb="FFB61E53"/>
      <name val="Cambria"/>
      <family val="1"/>
      <charset val="162"/>
      <scheme val="minor"/>
    </font>
    <font>
      <sz val="16"/>
      <color rgb="FFFFFF00"/>
      <name val="Cambria"/>
      <family val="2"/>
      <scheme val="minor"/>
    </font>
    <font>
      <b/>
      <sz val="16"/>
      <name val="Cambria"/>
      <family val="1"/>
      <charset val="162"/>
      <scheme val="minor"/>
    </font>
    <font>
      <sz val="16"/>
      <color theme="8"/>
      <name val="Cambria"/>
      <family val="2"/>
      <scheme val="minor"/>
    </font>
    <font>
      <sz val="16"/>
      <color rgb="FFB61E53"/>
      <name val="Cambria"/>
      <family val="2"/>
      <scheme val="minor"/>
    </font>
    <font>
      <sz val="16"/>
      <color theme="1"/>
      <name val="Cambria"/>
      <family val="2"/>
      <scheme val="minor"/>
    </font>
    <font>
      <b/>
      <sz val="16"/>
      <color rgb="FFB61E53"/>
      <name val="Cambria"/>
      <family val="1"/>
      <charset val="162"/>
      <scheme val="minor"/>
    </font>
    <font>
      <b/>
      <sz val="16"/>
      <color rgb="FF0067A6"/>
      <name val="Cambria"/>
      <family val="1"/>
      <charset val="162"/>
      <scheme val="minor"/>
    </font>
    <font>
      <sz val="16"/>
      <name val="Century Gothic"/>
      <family val="2"/>
    </font>
    <font>
      <b/>
      <sz val="16"/>
      <color theme="1"/>
      <name val="Calibri"/>
      <family val="2"/>
      <charset val="162"/>
    </font>
    <font>
      <sz val="16"/>
      <color theme="1"/>
      <name val="Cambria"/>
      <family val="1"/>
      <charset val="162"/>
      <scheme val="minor"/>
    </font>
    <font>
      <u/>
      <sz val="16"/>
      <color rgb="FFB61E53"/>
      <name val="Cambria"/>
      <family val="1"/>
      <charset val="162"/>
      <scheme val="minor"/>
    </font>
    <font>
      <sz val="16"/>
      <color theme="8" tint="-0.499984740745262"/>
      <name val="Cambria"/>
      <family val="2"/>
      <scheme val="minor"/>
    </font>
    <font>
      <sz val="16"/>
      <color theme="1"/>
      <name val="Calibri"/>
      <family val="2"/>
      <charset val="162"/>
    </font>
    <font>
      <b/>
      <u/>
      <sz val="16"/>
      <color rgb="FFB61E53"/>
      <name val="Cambria"/>
      <family val="1"/>
      <charset val="162"/>
      <scheme val="minor"/>
    </font>
    <font>
      <sz val="16"/>
      <color theme="0" tint="-0.499984740745262"/>
      <name val="Cambria"/>
      <family val="2"/>
      <scheme val="minor"/>
    </font>
    <font>
      <u/>
      <sz val="16"/>
      <color theme="10"/>
      <name val="Cambria"/>
      <family val="2"/>
      <scheme val="minor"/>
    </font>
    <font>
      <b/>
      <sz val="28"/>
      <color rgb="FFF9A23B"/>
      <name val="Cambria"/>
      <family val="1"/>
      <charset val="162"/>
      <scheme val="minor"/>
    </font>
    <font>
      <sz val="26"/>
      <color rgb="FFFF0000"/>
      <name val="Cambria"/>
      <family val="2"/>
      <scheme val="minor"/>
    </font>
    <font>
      <sz val="22"/>
      <color rgb="FFFF0000"/>
      <name val="Cambria"/>
      <family val="1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1E53"/>
        <bgColor indexed="64"/>
      </patternFill>
    </fill>
    <fill>
      <patternFill patternType="solid">
        <fgColor rgb="FFF9A23B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/>
        <bgColor indexed="64"/>
      </patternFill>
    </fill>
  </fills>
  <borders count="17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n">
        <color theme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2" borderId="1" applyNumberFormat="0" applyAlignment="0" applyProtection="0"/>
    <xf numFmtId="0" fontId="3" fillId="3" borderId="0" applyNumberFormat="0" applyBorder="0" applyAlignment="0" applyProtection="0"/>
    <xf numFmtId="0" fontId="5" fillId="0" borderId="0" applyNumberFormat="0" applyFill="0" applyAlignment="0" applyProtection="0"/>
    <xf numFmtId="0" fontId="7" fillId="0" borderId="0" applyNumberFormat="0" applyFill="0" applyBorder="0" applyAlignment="0" applyProtection="0"/>
  </cellStyleXfs>
  <cellXfs count="208">
    <xf numFmtId="0" fontId="0" fillId="0" borderId="0" xfId="0"/>
    <xf numFmtId="0" fontId="2" fillId="0" borderId="0" xfId="1"/>
    <xf numFmtId="0" fontId="4" fillId="0" borderId="0" xfId="1" applyFont="1"/>
    <xf numFmtId="0" fontId="7" fillId="0" borderId="0" xfId="5"/>
    <xf numFmtId="0" fontId="6" fillId="0" borderId="0" xfId="1" applyFont="1" applyAlignment="1">
      <alignment horizontal="center"/>
    </xf>
    <xf numFmtId="0" fontId="6" fillId="0" borderId="0" xfId="1" applyFont="1" applyAlignment="1">
      <alignment horizontal="right"/>
    </xf>
    <xf numFmtId="166" fontId="0" fillId="0" borderId="0" xfId="0" applyNumberFormat="1"/>
    <xf numFmtId="165" fontId="8" fillId="0" borderId="0" xfId="1" applyNumberFormat="1" applyFont="1" applyBorder="1" applyAlignment="1">
      <alignment vertical="center"/>
    </xf>
    <xf numFmtId="165" fontId="8" fillId="0" borderId="2" xfId="1" applyNumberFormat="1" applyFont="1" applyBorder="1" applyAlignment="1">
      <alignment horizontal="right" vertical="center"/>
    </xf>
    <xf numFmtId="0" fontId="2" fillId="5" borderId="0" xfId="1" applyFill="1"/>
    <xf numFmtId="165" fontId="10" fillId="0" borderId="0" xfId="1" applyNumberFormat="1" applyFont="1" applyBorder="1" applyAlignment="1">
      <alignment vertical="center"/>
    </xf>
    <xf numFmtId="0" fontId="11" fillId="0" borderId="0" xfId="1" applyFont="1"/>
    <xf numFmtId="0" fontId="11" fillId="5" borderId="0" xfId="1" applyFont="1" applyFill="1"/>
    <xf numFmtId="0" fontId="12" fillId="0" borderId="0" xfId="1" applyFont="1" applyFill="1" applyAlignment="1">
      <alignment horizontal="right"/>
    </xf>
    <xf numFmtId="0" fontId="14" fillId="0" borderId="0" xfId="1" applyFont="1"/>
    <xf numFmtId="0" fontId="14" fillId="5" borderId="0" xfId="1" applyFont="1" applyFill="1"/>
    <xf numFmtId="165" fontId="15" fillId="0" borderId="0" xfId="1" applyNumberFormat="1" applyFont="1" applyBorder="1" applyAlignment="1">
      <alignment vertical="center"/>
    </xf>
    <xf numFmtId="0" fontId="14" fillId="0" borderId="0" xfId="1" applyFont="1" applyAlignment="1">
      <alignment horizontal="right"/>
    </xf>
    <xf numFmtId="0" fontId="14" fillId="0" borderId="0" xfId="1" applyFont="1" applyAlignment="1">
      <alignment horizontal="center"/>
    </xf>
    <xf numFmtId="0" fontId="16" fillId="0" borderId="0" xfId="5" applyFont="1"/>
    <xf numFmtId="0" fontId="0" fillId="0" borderId="3" xfId="0" applyBorder="1"/>
    <xf numFmtId="0" fontId="19" fillId="0" borderId="0" xfId="0" applyFont="1"/>
    <xf numFmtId="166" fontId="20" fillId="0" borderId="0" xfId="0" applyNumberFormat="1" applyFont="1" applyFill="1" applyBorder="1" applyAlignment="1">
      <alignment vertical="center" textRotation="90"/>
    </xf>
    <xf numFmtId="0" fontId="21" fillId="0" borderId="0" xfId="1" applyFont="1"/>
    <xf numFmtId="0" fontId="2" fillId="0" borderId="0" xfId="1" applyFont="1"/>
    <xf numFmtId="0" fontId="22" fillId="4" borderId="13" xfId="1" applyFont="1" applyFill="1" applyBorder="1" applyAlignment="1">
      <alignment horizontal="center" vertical="center" wrapText="1"/>
    </xf>
    <xf numFmtId="0" fontId="23" fillId="4" borderId="13" xfId="1" applyFont="1" applyFill="1" applyBorder="1" applyAlignment="1">
      <alignment horizontal="center" vertical="center" wrapText="1"/>
    </xf>
    <xf numFmtId="0" fontId="22" fillId="4" borderId="4" xfId="1" applyFont="1" applyFill="1" applyBorder="1" applyAlignment="1">
      <alignment horizontal="center" vertical="center" wrapText="1"/>
    </xf>
    <xf numFmtId="0" fontId="22" fillId="4" borderId="11" xfId="1" applyFont="1" applyFill="1" applyBorder="1" applyAlignment="1">
      <alignment horizontal="center" vertical="center" wrapText="1"/>
    </xf>
    <xf numFmtId="0" fontId="23" fillId="4" borderId="11" xfId="1" applyFont="1" applyFill="1" applyBorder="1" applyAlignment="1">
      <alignment horizontal="center" vertical="center" wrapText="1"/>
    </xf>
    <xf numFmtId="0" fontId="22" fillId="4" borderId="0" xfId="1" applyFont="1" applyFill="1" applyBorder="1" applyAlignment="1">
      <alignment horizontal="center" vertical="center" wrapText="1"/>
    </xf>
    <xf numFmtId="0" fontId="22" fillId="4" borderId="12" xfId="1" applyFont="1" applyFill="1" applyBorder="1" applyAlignment="1">
      <alignment horizontal="center" vertical="center" wrapText="1"/>
    </xf>
    <xf numFmtId="0" fontId="24" fillId="4" borderId="12" xfId="1" applyFont="1" applyFill="1" applyBorder="1" applyAlignment="1">
      <alignment horizontal="center" vertical="center" wrapText="1"/>
    </xf>
    <xf numFmtId="0" fontId="22" fillId="4" borderId="7" xfId="1" applyFont="1" applyFill="1" applyBorder="1" applyAlignment="1">
      <alignment horizontal="center" vertical="center" wrapText="1"/>
    </xf>
    <xf numFmtId="0" fontId="22" fillId="5" borderId="13" xfId="1" applyFont="1" applyFill="1" applyBorder="1" applyAlignment="1">
      <alignment horizontal="center" vertical="center" wrapText="1"/>
    </xf>
    <xf numFmtId="0" fontId="23" fillId="5" borderId="13" xfId="1" applyFont="1" applyFill="1" applyBorder="1" applyAlignment="1">
      <alignment horizontal="center" vertical="center" wrapText="1"/>
    </xf>
    <xf numFmtId="0" fontId="22" fillId="5" borderId="4" xfId="1" applyFont="1" applyFill="1" applyBorder="1" applyAlignment="1">
      <alignment horizontal="center" vertical="center" wrapText="1"/>
    </xf>
    <xf numFmtId="0" fontId="22" fillId="5" borderId="11" xfId="1" applyFont="1" applyFill="1" applyBorder="1" applyAlignment="1">
      <alignment horizontal="center" vertical="center" wrapText="1"/>
    </xf>
    <xf numFmtId="0" fontId="23" fillId="5" borderId="11" xfId="1" applyFont="1" applyFill="1" applyBorder="1" applyAlignment="1">
      <alignment horizontal="center" vertical="center" wrapText="1"/>
    </xf>
    <xf numFmtId="0" fontId="22" fillId="5" borderId="0" xfId="1" applyFont="1" applyFill="1" applyBorder="1" applyAlignment="1">
      <alignment horizontal="center" vertical="center" wrapText="1"/>
    </xf>
    <xf numFmtId="0" fontId="22" fillId="5" borderId="12" xfId="1" applyFont="1" applyFill="1" applyBorder="1" applyAlignment="1">
      <alignment horizontal="center" vertical="center" wrapText="1"/>
    </xf>
    <xf numFmtId="0" fontId="24" fillId="5" borderId="12" xfId="1" applyFont="1" applyFill="1" applyBorder="1" applyAlignment="1">
      <alignment horizontal="center" vertical="center" wrapText="1"/>
    </xf>
    <xf numFmtId="0" fontId="22" fillId="5" borderId="7" xfId="1" applyFont="1" applyFill="1" applyBorder="1" applyAlignment="1">
      <alignment horizontal="center" vertical="center" wrapText="1"/>
    </xf>
    <xf numFmtId="0" fontId="10" fillId="0" borderId="0" xfId="1" applyFont="1"/>
    <xf numFmtId="0" fontId="25" fillId="0" borderId="0" xfId="1" applyFont="1"/>
    <xf numFmtId="0" fontId="13" fillId="0" borderId="10" xfId="2" applyFont="1" applyFill="1" applyBorder="1" applyAlignment="1">
      <alignment horizontal="center" vertical="center"/>
    </xf>
    <xf numFmtId="0" fontId="26" fillId="5" borderId="0" xfId="1" applyFont="1" applyFill="1" applyAlignment="1">
      <alignment vertical="center" wrapText="1"/>
    </xf>
    <xf numFmtId="166" fontId="27" fillId="0" borderId="0" xfId="0" applyNumberFormat="1" applyFont="1" applyFill="1" applyBorder="1" applyAlignment="1">
      <alignment vertical="center" textRotation="90"/>
    </xf>
    <xf numFmtId="0" fontId="30" fillId="0" borderId="11" xfId="0" applyFont="1" applyBorder="1"/>
    <xf numFmtId="0" fontId="31" fillId="0" borderId="12" xfId="0" applyFont="1" applyBorder="1"/>
    <xf numFmtId="0" fontId="32" fillId="0" borderId="11" xfId="0" applyFont="1" applyBorder="1"/>
    <xf numFmtId="0" fontId="27" fillId="0" borderId="0" xfId="0" applyFont="1" applyAlignment="1">
      <alignment vertical="center"/>
    </xf>
    <xf numFmtId="0" fontId="27" fillId="0" borderId="13" xfId="0" applyFont="1" applyBorder="1" applyAlignment="1">
      <alignment vertical="center"/>
    </xf>
    <xf numFmtId="0" fontId="28" fillId="0" borderId="0" xfId="1" applyFont="1" applyAlignment="1">
      <alignment vertical="center"/>
    </xf>
    <xf numFmtId="0" fontId="27" fillId="0" borderId="0" xfId="1" applyFont="1" applyAlignment="1">
      <alignment vertical="center"/>
    </xf>
    <xf numFmtId="164" fontId="29" fillId="7" borderId="3" xfId="1" applyNumberFormat="1" applyFont="1" applyFill="1" applyBorder="1" applyAlignment="1">
      <alignment horizontal="left" vertical="center" wrapText="1"/>
    </xf>
    <xf numFmtId="164" fontId="29" fillId="7" borderId="9" xfId="1" applyNumberFormat="1" applyFont="1" applyFill="1" applyBorder="1" applyAlignment="1">
      <alignment horizontal="left" vertical="center" wrapText="1"/>
    </xf>
    <xf numFmtId="164" fontId="17" fillId="7" borderId="3" xfId="1" applyNumberFormat="1" applyFont="1" applyFill="1" applyBorder="1" applyAlignment="1">
      <alignment horizontal="left" vertical="top" wrapText="1"/>
    </xf>
    <xf numFmtId="164" fontId="17" fillId="7" borderId="9" xfId="1" applyNumberFormat="1" applyFont="1" applyFill="1" applyBorder="1" applyAlignment="1">
      <alignment horizontal="left" vertical="top" wrapText="1"/>
    </xf>
    <xf numFmtId="165" fontId="33" fillId="0" borderId="0" xfId="1" applyNumberFormat="1" applyFont="1" applyBorder="1" applyAlignment="1">
      <alignment vertical="center"/>
    </xf>
    <xf numFmtId="0" fontId="34" fillId="0" borderId="9" xfId="2" applyFont="1" applyFill="1" applyBorder="1" applyAlignment="1">
      <alignment horizontal="center" vertical="center"/>
    </xf>
    <xf numFmtId="164" fontId="35" fillId="4" borderId="3" xfId="1" applyNumberFormat="1" applyFont="1" applyFill="1" applyBorder="1" applyAlignment="1">
      <alignment horizontal="center" vertical="center" wrapText="1"/>
    </xf>
    <xf numFmtId="0" fontId="39" fillId="4" borderId="4" xfId="1" applyFont="1" applyFill="1" applyBorder="1" applyAlignment="1">
      <alignment horizontal="center" vertical="center" wrapText="1"/>
    </xf>
    <xf numFmtId="0" fontId="40" fillId="4" borderId="13" xfId="1" applyFont="1" applyFill="1" applyBorder="1" applyAlignment="1">
      <alignment horizontal="center" vertical="center" wrapText="1"/>
    </xf>
    <xf numFmtId="0" fontId="39" fillId="4" borderId="0" xfId="1" applyFont="1" applyFill="1" applyAlignment="1">
      <alignment horizontal="center" vertical="center" wrapText="1"/>
    </xf>
    <xf numFmtId="0" fontId="40" fillId="4" borderId="11" xfId="1" applyFont="1" applyFill="1" applyBorder="1" applyAlignment="1">
      <alignment horizontal="center" vertical="center" wrapText="1"/>
    </xf>
    <xf numFmtId="0" fontId="40" fillId="5" borderId="13" xfId="1" applyFont="1" applyFill="1" applyBorder="1" applyAlignment="1">
      <alignment horizontal="center" vertical="center" wrapText="1"/>
    </xf>
    <xf numFmtId="0" fontId="39" fillId="5" borderId="4" xfId="1" applyFont="1" applyFill="1" applyBorder="1" applyAlignment="1">
      <alignment horizontal="center" vertical="center" wrapText="1"/>
    </xf>
    <xf numFmtId="0" fontId="40" fillId="5" borderId="11" xfId="1" applyFont="1" applyFill="1" applyBorder="1" applyAlignment="1">
      <alignment horizontal="center" vertical="center" wrapText="1"/>
    </xf>
    <xf numFmtId="0" fontId="39" fillId="5" borderId="0" xfId="1" applyFont="1" applyFill="1" applyAlignment="1">
      <alignment horizontal="center" vertical="center" wrapText="1"/>
    </xf>
    <xf numFmtId="0" fontId="32" fillId="8" borderId="11" xfId="0" applyFont="1" applyFill="1" applyBorder="1"/>
    <xf numFmtId="0" fontId="22" fillId="8" borderId="11" xfId="1" applyFont="1" applyFill="1" applyBorder="1" applyAlignment="1">
      <alignment horizontal="center" vertical="center" wrapText="1"/>
    </xf>
    <xf numFmtId="0" fontId="23" fillId="8" borderId="11" xfId="1" applyFont="1" applyFill="1" applyBorder="1" applyAlignment="1">
      <alignment horizontal="center" vertical="center" wrapText="1"/>
    </xf>
    <xf numFmtId="0" fontId="22" fillId="8" borderId="0" xfId="1" applyFont="1" applyFill="1" applyBorder="1" applyAlignment="1">
      <alignment horizontal="center" vertical="center" wrapText="1"/>
    </xf>
    <xf numFmtId="0" fontId="39" fillId="8" borderId="0" xfId="1" applyFont="1" applyFill="1" applyAlignment="1">
      <alignment horizontal="center" vertical="center" wrapText="1"/>
    </xf>
    <xf numFmtId="0" fontId="37" fillId="8" borderId="12" xfId="0" applyFont="1" applyFill="1" applyBorder="1"/>
    <xf numFmtId="0" fontId="22" fillId="8" borderId="12" xfId="1" applyFont="1" applyFill="1" applyBorder="1" applyAlignment="1">
      <alignment horizontal="center" vertical="center" wrapText="1"/>
    </xf>
    <xf numFmtId="0" fontId="24" fillId="8" borderId="12" xfId="1" applyFont="1" applyFill="1" applyBorder="1" applyAlignment="1">
      <alignment horizontal="center" vertical="center" wrapText="1"/>
    </xf>
    <xf numFmtId="0" fontId="22" fillId="8" borderId="7" xfId="1" applyFont="1" applyFill="1" applyBorder="1" applyAlignment="1">
      <alignment horizontal="center" vertical="center" wrapText="1"/>
    </xf>
    <xf numFmtId="0" fontId="32" fillId="9" borderId="11" xfId="0" applyFont="1" applyFill="1" applyBorder="1"/>
    <xf numFmtId="0" fontId="22" fillId="9" borderId="13" xfId="1" applyFont="1" applyFill="1" applyBorder="1" applyAlignment="1">
      <alignment horizontal="center" vertical="center" wrapText="1"/>
    </xf>
    <xf numFmtId="0" fontId="23" fillId="9" borderId="13" xfId="1" applyFont="1" applyFill="1" applyBorder="1" applyAlignment="1">
      <alignment horizontal="center" vertical="center" wrapText="1"/>
    </xf>
    <xf numFmtId="0" fontId="22" fillId="9" borderId="4" xfId="1" applyFont="1" applyFill="1" applyBorder="1" applyAlignment="1">
      <alignment horizontal="center" vertical="center" wrapText="1"/>
    </xf>
    <xf numFmtId="0" fontId="39" fillId="9" borderId="4" xfId="1" applyFont="1" applyFill="1" applyBorder="1" applyAlignment="1">
      <alignment horizontal="center" vertical="center" wrapText="1"/>
    </xf>
    <xf numFmtId="0" fontId="22" fillId="9" borderId="11" xfId="1" applyFont="1" applyFill="1" applyBorder="1" applyAlignment="1">
      <alignment horizontal="center" vertical="center" wrapText="1"/>
    </xf>
    <xf numFmtId="0" fontId="23" fillId="9" borderId="11" xfId="1" applyFont="1" applyFill="1" applyBorder="1" applyAlignment="1">
      <alignment horizontal="center" vertical="center" wrapText="1"/>
    </xf>
    <xf numFmtId="0" fontId="22" fillId="9" borderId="0" xfId="1" applyFont="1" applyFill="1" applyBorder="1" applyAlignment="1">
      <alignment horizontal="center" vertical="center" wrapText="1"/>
    </xf>
    <xf numFmtId="0" fontId="39" fillId="9" borderId="0" xfId="1" applyFont="1" applyFill="1" applyAlignment="1">
      <alignment horizontal="center" vertical="center" wrapText="1"/>
    </xf>
    <xf numFmtId="0" fontId="27" fillId="10" borderId="3" xfId="0" applyFont="1" applyFill="1" applyBorder="1" applyAlignment="1">
      <alignment vertical="center"/>
    </xf>
    <xf numFmtId="0" fontId="39" fillId="8" borderId="7" xfId="1" applyFont="1" applyFill="1" applyBorder="1" applyAlignment="1">
      <alignment horizontal="center" vertical="center" wrapText="1"/>
    </xf>
    <xf numFmtId="0" fontId="38" fillId="10" borderId="13" xfId="0" applyFont="1" applyFill="1" applyBorder="1" applyAlignment="1">
      <alignment vertical="center"/>
    </xf>
    <xf numFmtId="0" fontId="39" fillId="9" borderId="13" xfId="1" applyFont="1" applyFill="1" applyBorder="1" applyAlignment="1">
      <alignment horizontal="center" vertical="center" wrapText="1"/>
    </xf>
    <xf numFmtId="0" fontId="40" fillId="9" borderId="13" xfId="1" applyFont="1" applyFill="1" applyBorder="1" applyAlignment="1">
      <alignment horizontal="center" vertical="center" wrapText="1"/>
    </xf>
    <xf numFmtId="0" fontId="39" fillId="9" borderId="11" xfId="1" applyFont="1" applyFill="1" applyBorder="1" applyAlignment="1">
      <alignment horizontal="center" vertical="center" wrapText="1"/>
    </xf>
    <xf numFmtId="0" fontId="40" fillId="9" borderId="11" xfId="1" applyFont="1" applyFill="1" applyBorder="1" applyAlignment="1">
      <alignment horizontal="center" vertical="center" wrapText="1"/>
    </xf>
    <xf numFmtId="0" fontId="39" fillId="9" borderId="0" xfId="1" applyFont="1" applyFill="1" applyBorder="1" applyAlignment="1">
      <alignment horizontal="center" vertical="center" wrapText="1"/>
    </xf>
    <xf numFmtId="0" fontId="39" fillId="8" borderId="11" xfId="1" applyFont="1" applyFill="1" applyBorder="1" applyAlignment="1">
      <alignment horizontal="center" vertical="center" wrapText="1"/>
    </xf>
    <xf numFmtId="0" fontId="40" fillId="8" borderId="11" xfId="1" applyFont="1" applyFill="1" applyBorder="1" applyAlignment="1">
      <alignment horizontal="center" vertical="center" wrapText="1"/>
    </xf>
    <xf numFmtId="0" fontId="39" fillId="8" borderId="0" xfId="1" applyFont="1" applyFill="1" applyBorder="1" applyAlignment="1">
      <alignment horizontal="center" vertical="center" wrapText="1"/>
    </xf>
    <xf numFmtId="0" fontId="39" fillId="8" borderId="12" xfId="1" applyFont="1" applyFill="1" applyBorder="1" applyAlignment="1">
      <alignment horizontal="center" vertical="center" wrapText="1"/>
    </xf>
    <xf numFmtId="0" fontId="42" fillId="8" borderId="12" xfId="1" applyFont="1" applyFill="1" applyBorder="1" applyAlignment="1">
      <alignment horizontal="center" vertical="center" wrapText="1"/>
    </xf>
    <xf numFmtId="0" fontId="43" fillId="0" borderId="0" xfId="1" applyFont="1"/>
    <xf numFmtId="0" fontId="44" fillId="0" borderId="0" xfId="1" applyFont="1"/>
    <xf numFmtId="0" fontId="45" fillId="5" borderId="0" xfId="1" applyFont="1" applyFill="1" applyAlignment="1">
      <alignment vertical="center" wrapText="1"/>
    </xf>
    <xf numFmtId="0" fontId="43" fillId="5" borderId="0" xfId="1" applyFont="1" applyFill="1"/>
    <xf numFmtId="0" fontId="47" fillId="0" borderId="0" xfId="1" applyFont="1" applyFill="1" applyAlignment="1">
      <alignment horizontal="right"/>
    </xf>
    <xf numFmtId="0" fontId="44" fillId="5" borderId="0" xfId="1" applyFont="1" applyFill="1"/>
    <xf numFmtId="0" fontId="48" fillId="0" borderId="0" xfId="1" applyFont="1"/>
    <xf numFmtId="165" fontId="44" fillId="0" borderId="0" xfId="1" applyNumberFormat="1" applyFont="1" applyBorder="1" applyAlignment="1">
      <alignment vertical="center"/>
    </xf>
    <xf numFmtId="165" fontId="47" fillId="0" borderId="0" xfId="1" applyNumberFormat="1" applyFont="1" applyBorder="1" applyAlignment="1">
      <alignment vertical="center"/>
    </xf>
    <xf numFmtId="165" fontId="47" fillId="0" borderId="2" xfId="1" applyNumberFormat="1" applyFont="1" applyBorder="1" applyAlignment="1">
      <alignment horizontal="right" vertical="center"/>
    </xf>
    <xf numFmtId="165" fontId="43" fillId="0" borderId="0" xfId="1" applyNumberFormat="1" applyFont="1" applyBorder="1" applyAlignment="1">
      <alignment vertical="center"/>
    </xf>
    <xf numFmtId="0" fontId="49" fillId="0" borderId="3" xfId="0" applyFont="1" applyBorder="1"/>
    <xf numFmtId="0" fontId="50" fillId="0" borderId="10" xfId="2" applyFont="1" applyFill="1" applyBorder="1" applyAlignment="1">
      <alignment horizontal="center" vertical="center"/>
    </xf>
    <xf numFmtId="0" fontId="49" fillId="0" borderId="0" xfId="0" applyFont="1"/>
    <xf numFmtId="166" fontId="49" fillId="0" borderId="0" xfId="0" applyNumberFormat="1" applyFont="1"/>
    <xf numFmtId="164" fontId="51" fillId="4" borderId="3" xfId="1" applyNumberFormat="1" applyFont="1" applyFill="1" applyBorder="1" applyAlignment="1">
      <alignment horizontal="center" vertical="center" wrapText="1"/>
    </xf>
    <xf numFmtId="0" fontId="52" fillId="0" borderId="0" xfId="1" applyFont="1"/>
    <xf numFmtId="0" fontId="53" fillId="9" borderId="11" xfId="0" applyFont="1" applyFill="1" applyBorder="1"/>
    <xf numFmtId="0" fontId="54" fillId="4" borderId="13" xfId="1" applyFont="1" applyFill="1" applyBorder="1" applyAlignment="1">
      <alignment horizontal="center" vertical="center" wrapText="1"/>
    </xf>
    <xf numFmtId="0" fontId="55" fillId="4" borderId="13" xfId="1" applyFont="1" applyFill="1" applyBorder="1" applyAlignment="1">
      <alignment horizontal="center" vertical="center" wrapText="1"/>
    </xf>
    <xf numFmtId="0" fontId="54" fillId="4" borderId="4" xfId="1" applyFont="1" applyFill="1" applyBorder="1" applyAlignment="1">
      <alignment horizontal="center" vertical="center" wrapText="1"/>
    </xf>
    <xf numFmtId="166" fontId="56" fillId="0" borderId="0" xfId="0" applyNumberFormat="1" applyFont="1" applyFill="1" applyBorder="1" applyAlignment="1">
      <alignment vertical="center" textRotation="90"/>
    </xf>
    <xf numFmtId="0" fontId="54" fillId="4" borderId="11" xfId="1" applyFont="1" applyFill="1" applyBorder="1" applyAlignment="1">
      <alignment horizontal="center" vertical="center" wrapText="1"/>
    </xf>
    <xf numFmtId="0" fontId="55" fillId="4" borderId="11" xfId="1" applyFont="1" applyFill="1" applyBorder="1" applyAlignment="1">
      <alignment horizontal="center" vertical="center" wrapText="1"/>
    </xf>
    <xf numFmtId="0" fontId="54" fillId="4" borderId="0" xfId="1" applyFont="1" applyFill="1" applyBorder="1" applyAlignment="1">
      <alignment horizontal="center" vertical="center" wrapText="1"/>
    </xf>
    <xf numFmtId="0" fontId="53" fillId="8" borderId="11" xfId="0" applyFont="1" applyFill="1" applyBorder="1"/>
    <xf numFmtId="0" fontId="57" fillId="8" borderId="12" xfId="0" applyFont="1" applyFill="1" applyBorder="1"/>
    <xf numFmtId="0" fontId="58" fillId="4" borderId="12" xfId="1" applyFont="1" applyFill="1" applyBorder="1" applyAlignment="1">
      <alignment horizontal="center" vertical="center" wrapText="1"/>
    </xf>
    <xf numFmtId="0" fontId="27" fillId="10" borderId="13" xfId="0" applyFont="1" applyFill="1" applyBorder="1" applyAlignment="1">
      <alignment vertical="center"/>
    </xf>
    <xf numFmtId="0" fontId="54" fillId="5" borderId="13" xfId="1" applyFont="1" applyFill="1" applyBorder="1" applyAlignment="1">
      <alignment horizontal="center" vertical="center" wrapText="1"/>
    </xf>
    <xf numFmtId="0" fontId="55" fillId="5" borderId="13" xfId="1" applyFont="1" applyFill="1" applyBorder="1" applyAlignment="1">
      <alignment horizontal="center" vertical="center" wrapText="1"/>
    </xf>
    <xf numFmtId="0" fontId="54" fillId="5" borderId="4" xfId="1" applyFont="1" applyFill="1" applyBorder="1" applyAlignment="1">
      <alignment horizontal="center" vertical="center" wrapText="1"/>
    </xf>
    <xf numFmtId="0" fontId="54" fillId="5" borderId="11" xfId="1" applyFont="1" applyFill="1" applyBorder="1" applyAlignment="1">
      <alignment horizontal="center" vertical="center" wrapText="1"/>
    </xf>
    <xf numFmtId="0" fontId="55" fillId="5" borderId="11" xfId="1" applyFont="1" applyFill="1" applyBorder="1" applyAlignment="1">
      <alignment horizontal="center" vertical="center" wrapText="1"/>
    </xf>
    <xf numFmtId="0" fontId="54" fillId="5" borderId="0" xfId="1" applyFont="1" applyFill="1" applyBorder="1" applyAlignment="1">
      <alignment horizontal="center" vertical="center" wrapText="1"/>
    </xf>
    <xf numFmtId="0" fontId="54" fillId="5" borderId="12" xfId="1" applyFont="1" applyFill="1" applyBorder="1" applyAlignment="1">
      <alignment horizontal="center" vertical="center" wrapText="1"/>
    </xf>
    <xf numFmtId="0" fontId="58" fillId="5" borderId="12" xfId="1" applyFont="1" applyFill="1" applyBorder="1" applyAlignment="1">
      <alignment horizontal="center" vertical="center" wrapText="1"/>
    </xf>
    <xf numFmtId="164" fontId="46" fillId="7" borderId="3" xfId="1" applyNumberFormat="1" applyFont="1" applyFill="1" applyBorder="1" applyAlignment="1">
      <alignment horizontal="left" vertical="top" wrapText="1"/>
    </xf>
    <xf numFmtId="164" fontId="46" fillId="7" borderId="9" xfId="1" applyNumberFormat="1" applyFont="1" applyFill="1" applyBorder="1" applyAlignment="1">
      <alignment horizontal="left" vertical="top" wrapText="1"/>
    </xf>
    <xf numFmtId="0" fontId="53" fillId="0" borderId="11" xfId="0" applyFont="1" applyBorder="1"/>
    <xf numFmtId="0" fontId="57" fillId="0" borderId="12" xfId="0" applyFont="1" applyBorder="1"/>
    <xf numFmtId="0" fontId="59" fillId="0" borderId="0" xfId="1" applyFont="1" applyAlignment="1">
      <alignment horizontal="right"/>
    </xf>
    <xf numFmtId="0" fontId="44" fillId="0" borderId="0" xfId="1" applyFont="1" applyAlignment="1">
      <alignment horizontal="right"/>
    </xf>
    <xf numFmtId="0" fontId="59" fillId="0" borderId="0" xfId="1" applyFont="1" applyAlignment="1">
      <alignment horizontal="center"/>
    </xf>
    <xf numFmtId="0" fontId="44" fillId="0" borderId="0" xfId="1" applyFont="1" applyAlignment="1">
      <alignment horizontal="center"/>
    </xf>
    <xf numFmtId="0" fontId="60" fillId="0" borderId="0" xfId="5" applyFont="1"/>
    <xf numFmtId="0" fontId="55" fillId="0" borderId="0" xfId="5" applyFont="1"/>
    <xf numFmtId="165" fontId="61" fillId="0" borderId="0" xfId="1" applyNumberFormat="1" applyFont="1" applyBorder="1" applyAlignment="1">
      <alignment vertical="center"/>
    </xf>
    <xf numFmtId="165" fontId="62" fillId="0" borderId="0" xfId="1" applyNumberFormat="1" applyFont="1" applyBorder="1" applyAlignment="1">
      <alignment vertical="center"/>
    </xf>
    <xf numFmtId="0" fontId="54" fillId="8" borderId="11" xfId="1" applyFont="1" applyFill="1" applyBorder="1" applyAlignment="1">
      <alignment horizontal="center" vertical="center" wrapText="1"/>
    </xf>
    <xf numFmtId="0" fontId="55" fillId="8" borderId="11" xfId="1" applyFont="1" applyFill="1" applyBorder="1" applyAlignment="1">
      <alignment horizontal="center" vertical="center" wrapText="1"/>
    </xf>
    <xf numFmtId="0" fontId="54" fillId="8" borderId="0" xfId="1" applyFont="1" applyFill="1" applyBorder="1" applyAlignment="1">
      <alignment horizontal="center" vertical="center" wrapText="1"/>
    </xf>
    <xf numFmtId="0" fontId="54" fillId="8" borderId="12" xfId="1" applyFont="1" applyFill="1" applyBorder="1" applyAlignment="1">
      <alignment horizontal="center" vertical="center" wrapText="1"/>
    </xf>
    <xf numFmtId="0" fontId="58" fillId="8" borderId="12" xfId="1" applyFont="1" applyFill="1" applyBorder="1" applyAlignment="1">
      <alignment horizontal="center" vertical="center" wrapText="1"/>
    </xf>
    <xf numFmtId="0" fontId="54" fillId="8" borderId="7" xfId="1" applyFont="1" applyFill="1" applyBorder="1" applyAlignment="1">
      <alignment horizontal="center" vertical="center" wrapText="1"/>
    </xf>
    <xf numFmtId="165" fontId="61" fillId="5" borderId="0" xfId="1" applyNumberFormat="1" applyFont="1" applyFill="1" applyBorder="1" applyAlignment="1">
      <alignment vertical="center"/>
    </xf>
    <xf numFmtId="0" fontId="61" fillId="5" borderId="0" xfId="1" applyFont="1" applyFill="1"/>
    <xf numFmtId="0" fontId="36" fillId="0" borderId="0" xfId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9" fillId="5" borderId="0" xfId="1" applyFont="1" applyFill="1" applyAlignment="1">
      <alignment horizontal="right"/>
    </xf>
    <xf numFmtId="165" fontId="10" fillId="0" borderId="2" xfId="1" applyNumberFormat="1" applyFont="1" applyBorder="1" applyAlignment="1">
      <alignment horizontal="right" vertical="center"/>
    </xf>
    <xf numFmtId="0" fontId="26" fillId="6" borderId="0" xfId="1" applyFont="1" applyFill="1" applyAlignment="1">
      <alignment horizontal="center" vertical="center" wrapText="1"/>
    </xf>
    <xf numFmtId="0" fontId="22" fillId="5" borderId="14" xfId="1" applyFont="1" applyFill="1" applyBorder="1" applyAlignment="1">
      <alignment horizontal="left" vertical="top" wrapText="1"/>
    </xf>
    <xf numFmtId="0" fontId="22" fillId="5" borderId="4" xfId="1" applyFont="1" applyFill="1" applyBorder="1" applyAlignment="1">
      <alignment horizontal="left" vertical="top" wrapText="1"/>
    </xf>
    <xf numFmtId="0" fontId="22" fillId="5" borderId="5" xfId="1" applyFont="1" applyFill="1" applyBorder="1" applyAlignment="1">
      <alignment horizontal="left" vertical="top" wrapText="1"/>
    </xf>
    <xf numFmtId="0" fontId="22" fillId="5" borderId="15" xfId="1" applyFont="1" applyFill="1" applyBorder="1" applyAlignment="1">
      <alignment horizontal="left" vertical="top" wrapText="1"/>
    </xf>
    <xf numFmtId="0" fontId="22" fillId="5" borderId="0" xfId="1" applyFont="1" applyFill="1" applyBorder="1" applyAlignment="1">
      <alignment horizontal="left" vertical="top" wrapText="1"/>
    </xf>
    <xf numFmtId="0" fontId="22" fillId="5" borderId="6" xfId="1" applyFont="1" applyFill="1" applyBorder="1" applyAlignment="1">
      <alignment horizontal="left" vertical="top" wrapText="1"/>
    </xf>
    <xf numFmtId="0" fontId="22" fillId="5" borderId="16" xfId="1" applyFont="1" applyFill="1" applyBorder="1" applyAlignment="1">
      <alignment horizontal="left" vertical="top" wrapText="1"/>
    </xf>
    <xf numFmtId="0" fontId="22" fillId="5" borderId="7" xfId="1" applyFont="1" applyFill="1" applyBorder="1" applyAlignment="1">
      <alignment horizontal="left" vertical="top" wrapText="1"/>
    </xf>
    <xf numFmtId="0" fontId="22" fillId="5" borderId="8" xfId="1" applyFont="1" applyFill="1" applyBorder="1" applyAlignment="1">
      <alignment horizontal="left" vertical="top" wrapText="1"/>
    </xf>
    <xf numFmtId="0" fontId="9" fillId="5" borderId="0" xfId="1" applyFont="1" applyFill="1" applyAlignment="1">
      <alignment horizontal="left"/>
    </xf>
    <xf numFmtId="165" fontId="33" fillId="0" borderId="7" xfId="1" applyNumberFormat="1" applyFont="1" applyBorder="1" applyAlignment="1">
      <alignment horizontal="right" vertical="center"/>
    </xf>
    <xf numFmtId="0" fontId="18" fillId="0" borderId="4" xfId="1" applyFont="1" applyBorder="1" applyAlignment="1">
      <alignment horizontal="center" vertical="center"/>
    </xf>
    <xf numFmtId="0" fontId="41" fillId="5" borderId="14" xfId="1" applyFont="1" applyFill="1" applyBorder="1" applyAlignment="1">
      <alignment horizontal="left" vertical="top" wrapText="1"/>
    </xf>
    <xf numFmtId="0" fontId="39" fillId="5" borderId="4" xfId="1" applyFont="1" applyFill="1" applyBorder="1" applyAlignment="1">
      <alignment horizontal="left" vertical="top" wrapText="1"/>
    </xf>
    <xf numFmtId="0" fontId="39" fillId="5" borderId="5" xfId="1" applyFont="1" applyFill="1" applyBorder="1" applyAlignment="1">
      <alignment horizontal="left" vertical="top" wrapText="1"/>
    </xf>
    <xf numFmtId="0" fontId="39" fillId="5" borderId="15" xfId="1" applyFont="1" applyFill="1" applyBorder="1" applyAlignment="1">
      <alignment horizontal="left" vertical="top" wrapText="1"/>
    </xf>
    <xf numFmtId="0" fontId="39" fillId="5" borderId="0" xfId="1" applyFont="1" applyFill="1" applyAlignment="1">
      <alignment horizontal="left" vertical="top" wrapText="1"/>
    </xf>
    <xf numFmtId="0" fontId="39" fillId="5" borderId="6" xfId="1" applyFont="1" applyFill="1" applyBorder="1" applyAlignment="1">
      <alignment horizontal="left" vertical="top" wrapText="1"/>
    </xf>
    <xf numFmtId="0" fontId="39" fillId="5" borderId="16" xfId="1" applyFont="1" applyFill="1" applyBorder="1" applyAlignment="1">
      <alignment horizontal="left" vertical="top" wrapText="1"/>
    </xf>
    <xf numFmtId="0" fontId="39" fillId="5" borderId="7" xfId="1" applyFont="1" applyFill="1" applyBorder="1" applyAlignment="1">
      <alignment horizontal="left" vertical="top" wrapText="1"/>
    </xf>
    <xf numFmtId="0" fontId="39" fillId="5" borderId="8" xfId="1" applyFont="1" applyFill="1" applyBorder="1" applyAlignment="1">
      <alignment horizontal="left" vertical="top" wrapText="1"/>
    </xf>
    <xf numFmtId="0" fontId="46" fillId="5" borderId="0" xfId="1" applyFont="1" applyFill="1" applyAlignment="1">
      <alignment horizontal="right"/>
    </xf>
    <xf numFmtId="165" fontId="43" fillId="0" borderId="2" xfId="1" applyNumberFormat="1" applyFont="1" applyBorder="1" applyAlignment="1">
      <alignment horizontal="right" vertical="center"/>
    </xf>
    <xf numFmtId="0" fontId="43" fillId="0" borderId="0" xfId="1" applyFont="1" applyAlignment="1">
      <alignment horizontal="center" vertical="center"/>
    </xf>
    <xf numFmtId="0" fontId="51" fillId="0" borderId="0" xfId="1" applyFont="1" applyAlignment="1">
      <alignment horizontal="center" vertical="center"/>
    </xf>
    <xf numFmtId="0" fontId="54" fillId="5" borderId="14" xfId="1" applyFont="1" applyFill="1" applyBorder="1" applyAlignment="1">
      <alignment horizontal="left" vertical="top" wrapText="1"/>
    </xf>
    <xf numFmtId="0" fontId="54" fillId="5" borderId="4" xfId="1" applyFont="1" applyFill="1" applyBorder="1" applyAlignment="1">
      <alignment horizontal="left" vertical="top" wrapText="1"/>
    </xf>
    <xf numFmtId="0" fontId="54" fillId="5" borderId="5" xfId="1" applyFont="1" applyFill="1" applyBorder="1" applyAlignment="1">
      <alignment horizontal="left" vertical="top" wrapText="1"/>
    </xf>
    <xf numFmtId="0" fontId="54" fillId="5" borderId="15" xfId="1" applyFont="1" applyFill="1" applyBorder="1" applyAlignment="1">
      <alignment horizontal="left" vertical="top" wrapText="1"/>
    </xf>
    <xf numFmtId="0" fontId="54" fillId="5" borderId="0" xfId="1" applyFont="1" applyFill="1" applyBorder="1" applyAlignment="1">
      <alignment horizontal="left" vertical="top" wrapText="1"/>
    </xf>
    <xf numFmtId="0" fontId="54" fillId="5" borderId="6" xfId="1" applyFont="1" applyFill="1" applyBorder="1" applyAlignment="1">
      <alignment horizontal="left" vertical="top" wrapText="1"/>
    </xf>
    <xf numFmtId="0" fontId="54" fillId="5" borderId="16" xfId="1" applyFont="1" applyFill="1" applyBorder="1" applyAlignment="1">
      <alignment horizontal="left" vertical="top" wrapText="1"/>
    </xf>
    <xf numFmtId="0" fontId="54" fillId="5" borderId="7" xfId="1" applyFont="1" applyFill="1" applyBorder="1" applyAlignment="1">
      <alignment horizontal="left" vertical="top" wrapText="1"/>
    </xf>
    <xf numFmtId="0" fontId="54" fillId="5" borderId="8" xfId="1" applyFont="1" applyFill="1" applyBorder="1" applyAlignment="1">
      <alignment horizontal="left" vertical="top" wrapText="1"/>
    </xf>
    <xf numFmtId="0" fontId="46" fillId="5" borderId="0" xfId="1" applyFont="1" applyFill="1" applyAlignment="1">
      <alignment horizontal="left"/>
    </xf>
    <xf numFmtId="165" fontId="61" fillId="0" borderId="7" xfId="1" applyNumberFormat="1" applyFont="1" applyBorder="1" applyAlignment="1">
      <alignment horizontal="right" vertical="center"/>
    </xf>
    <xf numFmtId="0" fontId="63" fillId="5" borderId="14" xfId="1" applyFont="1" applyFill="1" applyBorder="1" applyAlignment="1">
      <alignment horizontal="left" vertical="top" wrapText="1"/>
    </xf>
    <xf numFmtId="0" fontId="63" fillId="5" borderId="4" xfId="1" applyFont="1" applyFill="1" applyBorder="1" applyAlignment="1">
      <alignment horizontal="left" vertical="top" wrapText="1"/>
    </xf>
    <xf numFmtId="0" fontId="63" fillId="5" borderId="5" xfId="1" applyFont="1" applyFill="1" applyBorder="1" applyAlignment="1">
      <alignment horizontal="left" vertical="top" wrapText="1"/>
    </xf>
    <xf numFmtId="0" fontId="63" fillId="5" borderId="15" xfId="1" applyFont="1" applyFill="1" applyBorder="1" applyAlignment="1">
      <alignment horizontal="left" vertical="top" wrapText="1"/>
    </xf>
    <xf numFmtId="0" fontId="63" fillId="5" borderId="0" xfId="1" applyFont="1" applyFill="1" applyBorder="1" applyAlignment="1">
      <alignment horizontal="left" vertical="top" wrapText="1"/>
    </xf>
    <xf numFmtId="0" fontId="63" fillId="5" borderId="6" xfId="1" applyFont="1" applyFill="1" applyBorder="1" applyAlignment="1">
      <alignment horizontal="left" vertical="top" wrapText="1"/>
    </xf>
    <xf numFmtId="0" fontId="63" fillId="5" borderId="16" xfId="1" applyFont="1" applyFill="1" applyBorder="1" applyAlignment="1">
      <alignment horizontal="left" vertical="top" wrapText="1"/>
    </xf>
    <xf numFmtId="0" fontId="63" fillId="5" borderId="7" xfId="1" applyFont="1" applyFill="1" applyBorder="1" applyAlignment="1">
      <alignment horizontal="left" vertical="top" wrapText="1"/>
    </xf>
    <xf numFmtId="0" fontId="63" fillId="5" borderId="8" xfId="1" applyFont="1" applyFill="1" applyBorder="1" applyAlignment="1">
      <alignment horizontal="left" vertical="top" wrapText="1"/>
    </xf>
  </cellXfs>
  <cellStyles count="6">
    <cellStyle name="40% - Accent1 2" xfId="3" xr:uid="{00000000-0005-0000-0000-000000000000}"/>
    <cellStyle name="Accent1 2" xfId="2" xr:uid="{00000000-0005-0000-0000-000001000000}"/>
    <cellStyle name="Heading 1 2" xfId="4" xr:uid="{00000000-0005-0000-0000-000002000000}"/>
    <cellStyle name="Hyperlink" xfId="5" builtinId="8"/>
    <cellStyle name="Normal" xfId="0" builtinId="0" customBuiltin="1"/>
    <cellStyle name="Normal 2" xfId="1" xr:uid="{00000000-0005-0000-0000-000005000000}"/>
  </cellStyles>
  <dxfs count="11"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 xr9:uid="{00000000-0011-0000-FFFF-FFFF00000000}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firstRowStripe" dxfId="5"/>
      <tableStyleElement type="firstColumnStripe" dxfId="4"/>
    </tableStyle>
    <tableStyle name="TableStyleLight9 2" pivot="0" count="4" xr9:uid="{00000000-0011-0000-FFFF-FFFF01000000}">
      <tableStyleElement type="wholeTable" dxfId="3"/>
      <tableStyleElement type="headerRow" dxfId="2"/>
      <tableStyleElement type="totalRow" dxfId="1"/>
      <tableStyleElement type="firstColumn" dxfId="0"/>
    </tableStyle>
  </tableStyles>
  <colors>
    <mruColors>
      <color rgb="FFF9A23B"/>
      <color rgb="FF0067A6"/>
      <color rgb="FF00927E"/>
      <color rgb="FF3473B8"/>
      <color rgb="FF002F8E"/>
      <color rgb="FFB61E53"/>
      <color rgb="FF7EA6D9"/>
      <color rgb="FFD2E36B"/>
      <color rgb="FFCADE50"/>
      <color rgb="FFC1D8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CalendarYear" max="2999" min="1900" page="10" val="202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1060450</xdr:colOff>
          <xdr:row>4</xdr:row>
          <xdr:rowOff>88900</xdr:rowOff>
        </xdr:from>
        <xdr:to>
          <xdr:col>17</xdr:col>
          <xdr:colOff>1174750</xdr:colOff>
          <xdr:row>4</xdr:row>
          <xdr:rowOff>304800</xdr:rowOff>
        </xdr:to>
        <xdr:sp macro="" textlink="">
          <xdr:nvSpPr>
            <xdr:cNvPr id="1026" name="Spinner 2" descr="Spinner control. Use spinner to change calendar year or type desired year in cell L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</xdr:col>
      <xdr:colOff>123645</xdr:colOff>
      <xdr:row>0</xdr:row>
      <xdr:rowOff>217146</xdr:rowOff>
    </xdr:from>
    <xdr:to>
      <xdr:col>16</xdr:col>
      <xdr:colOff>1</xdr:colOff>
      <xdr:row>5</xdr:row>
      <xdr:rowOff>558084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80845" y="217146"/>
          <a:ext cx="19777256" cy="2334838"/>
          <a:chOff x="596085" y="217146"/>
          <a:chExt cx="20069356" cy="2352618"/>
        </a:xfrm>
      </xdr:grpSpPr>
      <xdr:sp macro="" textlink="">
        <xdr:nvSpPr>
          <xdr:cNvPr id="10" name="Rectangle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16581120" y="706309"/>
            <a:ext cx="4084321" cy="186345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2400">
                <a:solidFill>
                  <a:schemeClr val="tx1"/>
                </a:solidFill>
              </a:rPr>
              <a:t>MÜŞTERİ LOGOSUNU BU ALANA KONUMLANDIRABİLİRSİNİZ.</a:t>
            </a:r>
          </a:p>
        </xdr:txBody>
      </xdr:sp>
      <xdr:pic>
        <xdr:nvPicPr>
          <xdr:cNvPr id="13" name="Picture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596085" y="217146"/>
            <a:ext cx="4187550" cy="20955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123645</xdr:colOff>
      <xdr:row>0</xdr:row>
      <xdr:rowOff>217146</xdr:rowOff>
    </xdr:from>
    <xdr:to>
      <xdr:col>16</xdr:col>
      <xdr:colOff>1</xdr:colOff>
      <xdr:row>5</xdr:row>
      <xdr:rowOff>558084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pSpPr/>
      </xdr:nvGrpSpPr>
      <xdr:grpSpPr>
        <a:xfrm>
          <a:off x="580845" y="217146"/>
          <a:ext cx="20717056" cy="2334838"/>
          <a:chOff x="596085" y="217146"/>
          <a:chExt cx="20069356" cy="2352618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00000000-0008-0000-0900-000009000000}"/>
              </a:ext>
            </a:extLst>
          </xdr:cNvPr>
          <xdr:cNvSpPr/>
        </xdr:nvSpPr>
        <xdr:spPr>
          <a:xfrm>
            <a:off x="16581120" y="706309"/>
            <a:ext cx="4084321" cy="186345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2400">
                <a:solidFill>
                  <a:schemeClr val="tx1"/>
                </a:solidFill>
              </a:rPr>
              <a:t>MÜŞTERİ LOGOSUNU BU ALANA KONUMLANDIRABİLİRSİNİZ.</a:t>
            </a:r>
          </a:p>
        </xdr:txBody>
      </xdr:sp>
      <xdr:pic>
        <xdr:nvPicPr>
          <xdr:cNvPr id="15" name="Picture 14">
            <a:extLst>
              <a:ext uri="{FF2B5EF4-FFF2-40B4-BE49-F238E27FC236}">
                <a16:creationId xmlns:a16="http://schemas.microsoft.com/office/drawing/2014/main" id="{00000000-0008-0000-09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596085" y="217146"/>
            <a:ext cx="4187550" cy="20955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12</xdr:col>
      <xdr:colOff>850900</xdr:colOff>
      <xdr:row>0</xdr:row>
      <xdr:rowOff>266700</xdr:rowOff>
    </xdr:from>
    <xdr:to>
      <xdr:col>16</xdr:col>
      <xdr:colOff>22045</xdr:colOff>
      <xdr:row>5</xdr:row>
      <xdr:rowOff>572746</xdr:rowOff>
    </xdr:to>
    <xdr:pic>
      <xdr:nvPicPr>
        <xdr:cNvPr id="5" name="Picture 4" descr="TED ÇORUM KOLEJİ – TED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16400" y="266700"/>
          <a:ext cx="4428945" cy="2299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123645</xdr:colOff>
      <xdr:row>0</xdr:row>
      <xdr:rowOff>217146</xdr:rowOff>
    </xdr:from>
    <xdr:to>
      <xdr:col>16</xdr:col>
      <xdr:colOff>1</xdr:colOff>
      <xdr:row>5</xdr:row>
      <xdr:rowOff>558084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GrpSpPr/>
      </xdr:nvGrpSpPr>
      <xdr:grpSpPr>
        <a:xfrm>
          <a:off x="580845" y="217146"/>
          <a:ext cx="20971056" cy="2334838"/>
          <a:chOff x="596085" y="217146"/>
          <a:chExt cx="20069356" cy="2352618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00000000-0008-0000-0A00-000009000000}"/>
              </a:ext>
            </a:extLst>
          </xdr:cNvPr>
          <xdr:cNvSpPr/>
        </xdr:nvSpPr>
        <xdr:spPr>
          <a:xfrm>
            <a:off x="16581120" y="706309"/>
            <a:ext cx="4084321" cy="186345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2400">
                <a:solidFill>
                  <a:schemeClr val="tx1"/>
                </a:solidFill>
              </a:rPr>
              <a:t>MÜŞTERİ LOGOSUNU BU ALANA KONUMLANDIRABİLİRSİNİZ.</a:t>
            </a:r>
          </a:p>
        </xdr:txBody>
      </xdr:sp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00000000-0008-0000-0A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596085" y="217146"/>
            <a:ext cx="4187550" cy="20955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12</xdr:col>
      <xdr:colOff>889000</xdr:colOff>
      <xdr:row>0</xdr:row>
      <xdr:rowOff>266700</xdr:rowOff>
    </xdr:from>
    <xdr:to>
      <xdr:col>16</xdr:col>
      <xdr:colOff>174445</xdr:colOff>
      <xdr:row>5</xdr:row>
      <xdr:rowOff>572746</xdr:rowOff>
    </xdr:to>
    <xdr:pic>
      <xdr:nvPicPr>
        <xdr:cNvPr id="5" name="Picture 4" descr="TED ÇORUM KOLEJİ – TED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266700"/>
          <a:ext cx="4543245" cy="2299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123645</xdr:colOff>
      <xdr:row>0</xdr:row>
      <xdr:rowOff>217146</xdr:rowOff>
    </xdr:from>
    <xdr:to>
      <xdr:col>16</xdr:col>
      <xdr:colOff>1</xdr:colOff>
      <xdr:row>5</xdr:row>
      <xdr:rowOff>558084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GrpSpPr/>
      </xdr:nvGrpSpPr>
      <xdr:grpSpPr>
        <a:xfrm>
          <a:off x="580845" y="217146"/>
          <a:ext cx="20018556" cy="2334838"/>
          <a:chOff x="596085" y="217146"/>
          <a:chExt cx="20069356" cy="2352618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00000000-0008-0000-0B00-000009000000}"/>
              </a:ext>
            </a:extLst>
          </xdr:cNvPr>
          <xdr:cNvSpPr/>
        </xdr:nvSpPr>
        <xdr:spPr>
          <a:xfrm>
            <a:off x="16581120" y="706309"/>
            <a:ext cx="4084321" cy="186345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2400">
                <a:solidFill>
                  <a:schemeClr val="tx1"/>
                </a:solidFill>
              </a:rPr>
              <a:t>MÜŞTERİ LOGOSUNU BU ALANA KONUMLANDIRABİLİRSİNİZ.</a:t>
            </a:r>
          </a:p>
        </xdr:txBody>
      </xdr:sp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00000000-0008-0000-0B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596085" y="217146"/>
            <a:ext cx="4187550" cy="20955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12</xdr:col>
      <xdr:colOff>872945</xdr:colOff>
      <xdr:row>0</xdr:row>
      <xdr:rowOff>267946</xdr:rowOff>
    </xdr:from>
    <xdr:to>
      <xdr:col>16</xdr:col>
      <xdr:colOff>158390</xdr:colOff>
      <xdr:row>5</xdr:row>
      <xdr:rowOff>573992</xdr:rowOff>
    </xdr:to>
    <xdr:pic>
      <xdr:nvPicPr>
        <xdr:cNvPr id="5" name="Picture 4" descr="TED ÇORUM KOLEJİ – TED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73245" y="267946"/>
          <a:ext cx="4543245" cy="2299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461102</xdr:colOff>
      <xdr:row>0</xdr:row>
      <xdr:rowOff>402204</xdr:rowOff>
    </xdr:from>
    <xdr:to>
      <xdr:col>3</xdr:col>
      <xdr:colOff>610051</xdr:colOff>
      <xdr:row>5</xdr:row>
      <xdr:rowOff>486071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61102" y="402204"/>
          <a:ext cx="4165778" cy="20650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1264920</xdr:colOff>
      <xdr:row>1</xdr:row>
      <xdr:rowOff>60960</xdr:rowOff>
    </xdr:from>
    <xdr:to>
      <xdr:col>16</xdr:col>
      <xdr:colOff>15241</xdr:colOff>
      <xdr:row>5</xdr:row>
      <xdr:rowOff>552815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6596360" y="701040"/>
          <a:ext cx="4084321" cy="186345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2400">
              <a:solidFill>
                <a:schemeClr val="tx1"/>
              </a:solidFill>
            </a:rPr>
            <a:t>MÜŞTERİ LOGOSUNU BU ALANA KONUMLANDIRABİLİRSİNİZ.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123645</xdr:colOff>
      <xdr:row>0</xdr:row>
      <xdr:rowOff>217146</xdr:rowOff>
    </xdr:from>
    <xdr:to>
      <xdr:col>16</xdr:col>
      <xdr:colOff>1</xdr:colOff>
      <xdr:row>5</xdr:row>
      <xdr:rowOff>558084</xdr:rowOff>
    </xdr:to>
    <xdr:grpSp>
      <xdr:nvGrpSpPr>
        <xdr:cNvPr id="15" name="Group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GrpSpPr/>
      </xdr:nvGrpSpPr>
      <xdr:grpSpPr>
        <a:xfrm>
          <a:off x="580845" y="217146"/>
          <a:ext cx="19777256" cy="2334838"/>
          <a:chOff x="596085" y="217146"/>
          <a:chExt cx="20069356" cy="2352618"/>
        </a:xfrm>
      </xdr:grpSpPr>
      <xdr:sp macro="" textlink="">
        <xdr:nvSpPr>
          <xdr:cNvPr id="16" name="Rectangle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SpPr/>
        </xdr:nvSpPr>
        <xdr:spPr>
          <a:xfrm>
            <a:off x="16581120" y="706309"/>
            <a:ext cx="4084321" cy="186345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2400">
                <a:solidFill>
                  <a:schemeClr val="tx1"/>
                </a:solidFill>
              </a:rPr>
              <a:t>MÜŞTERİ LOGOSUNU BU ALANA KONUMLANDIRABİLİRSİNİZ.</a:t>
            </a:r>
          </a:p>
        </xdr:txBody>
      </xdr:sp>
      <xdr:pic>
        <xdr:nvPicPr>
          <xdr:cNvPr id="17" name="Picture 16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596085" y="217146"/>
            <a:ext cx="4187550" cy="20955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123645</xdr:colOff>
      <xdr:row>0</xdr:row>
      <xdr:rowOff>217146</xdr:rowOff>
    </xdr:from>
    <xdr:to>
      <xdr:col>16</xdr:col>
      <xdr:colOff>1</xdr:colOff>
      <xdr:row>5</xdr:row>
      <xdr:rowOff>558084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pSpPr/>
      </xdr:nvGrpSpPr>
      <xdr:grpSpPr>
        <a:xfrm>
          <a:off x="580845" y="217146"/>
          <a:ext cx="19777256" cy="2334838"/>
          <a:chOff x="596085" y="217146"/>
          <a:chExt cx="20069356" cy="2352618"/>
        </a:xfrm>
      </xdr:grpSpPr>
      <xdr:sp macro="" textlink="">
        <xdr:nvSpPr>
          <xdr:cNvPr id="14" name="Rectangle 13">
            <a:extLst>
              <a:ext uri="{FF2B5EF4-FFF2-40B4-BE49-F238E27FC236}">
                <a16:creationId xmlns:a16="http://schemas.microsoft.com/office/drawing/2014/main" id="{00000000-0008-0000-0300-00000E000000}"/>
              </a:ext>
            </a:extLst>
          </xdr:cNvPr>
          <xdr:cNvSpPr/>
        </xdr:nvSpPr>
        <xdr:spPr>
          <a:xfrm>
            <a:off x="16581120" y="706309"/>
            <a:ext cx="4084321" cy="186345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2400">
                <a:solidFill>
                  <a:schemeClr val="tx1"/>
                </a:solidFill>
              </a:rPr>
              <a:t>MÜŞTERİ LOGOSUNU BU ALANA KONUMLANDIRABİLİRSİNİZ.</a:t>
            </a:r>
          </a:p>
        </xdr:txBody>
      </xdr:sp>
      <xdr:pic>
        <xdr:nvPicPr>
          <xdr:cNvPr id="15" name="Picture 14">
            <a:extLst>
              <a:ext uri="{FF2B5EF4-FFF2-40B4-BE49-F238E27FC236}">
                <a16:creationId xmlns:a16="http://schemas.microsoft.com/office/drawing/2014/main" id="{00000000-0008-0000-03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596085" y="217146"/>
            <a:ext cx="4187550" cy="20955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123645</xdr:colOff>
      <xdr:row>0</xdr:row>
      <xdr:rowOff>217146</xdr:rowOff>
    </xdr:from>
    <xdr:to>
      <xdr:col>16</xdr:col>
      <xdr:colOff>1</xdr:colOff>
      <xdr:row>5</xdr:row>
      <xdr:rowOff>558084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pSpPr/>
      </xdr:nvGrpSpPr>
      <xdr:grpSpPr>
        <a:xfrm>
          <a:off x="580845" y="217146"/>
          <a:ext cx="19777256" cy="2334838"/>
          <a:chOff x="596085" y="217146"/>
          <a:chExt cx="20069356" cy="2352618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SpPr/>
        </xdr:nvSpPr>
        <xdr:spPr>
          <a:xfrm>
            <a:off x="16581120" y="706309"/>
            <a:ext cx="4084321" cy="186345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2400">
                <a:solidFill>
                  <a:schemeClr val="tx1"/>
                </a:solidFill>
              </a:rPr>
              <a:t>MÜŞTERİ LOGOSUNU BU ALANA KONUMLANDIRABİLİRSİNİZ.</a:t>
            </a:r>
          </a:p>
        </xdr:txBody>
      </xdr:sp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596085" y="217146"/>
            <a:ext cx="4187550" cy="20955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123645</xdr:colOff>
      <xdr:row>0</xdr:row>
      <xdr:rowOff>217146</xdr:rowOff>
    </xdr:from>
    <xdr:to>
      <xdr:col>16</xdr:col>
      <xdr:colOff>1</xdr:colOff>
      <xdr:row>5</xdr:row>
      <xdr:rowOff>558084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GrpSpPr/>
      </xdr:nvGrpSpPr>
      <xdr:grpSpPr>
        <a:xfrm>
          <a:off x="580845" y="217146"/>
          <a:ext cx="19777256" cy="2334838"/>
          <a:chOff x="596085" y="217146"/>
          <a:chExt cx="20069356" cy="2352618"/>
        </a:xfrm>
      </xdr:grpSpPr>
      <xdr:sp macro="" textlink="">
        <xdr:nvSpPr>
          <xdr:cNvPr id="14" name="Rectangle 13">
            <a:extLst>
              <a:ext uri="{FF2B5EF4-FFF2-40B4-BE49-F238E27FC236}">
                <a16:creationId xmlns:a16="http://schemas.microsoft.com/office/drawing/2014/main" id="{00000000-0008-0000-0500-00000E000000}"/>
              </a:ext>
            </a:extLst>
          </xdr:cNvPr>
          <xdr:cNvSpPr/>
        </xdr:nvSpPr>
        <xdr:spPr>
          <a:xfrm>
            <a:off x="16581120" y="706309"/>
            <a:ext cx="4084321" cy="186345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2400">
                <a:solidFill>
                  <a:schemeClr val="tx1"/>
                </a:solidFill>
              </a:rPr>
              <a:t>MÜŞTERİ LOGOSUNU BU ALANA KONUMLANDIRABİLİRSİNİZ.</a:t>
            </a:r>
          </a:p>
        </xdr:txBody>
      </xdr:sp>
      <xdr:pic>
        <xdr:nvPicPr>
          <xdr:cNvPr id="15" name="Picture 14">
            <a:extLst>
              <a:ext uri="{FF2B5EF4-FFF2-40B4-BE49-F238E27FC236}">
                <a16:creationId xmlns:a16="http://schemas.microsoft.com/office/drawing/2014/main" id="{00000000-0008-0000-05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596085" y="217146"/>
            <a:ext cx="4187550" cy="20955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123645</xdr:colOff>
      <xdr:row>0</xdr:row>
      <xdr:rowOff>217146</xdr:rowOff>
    </xdr:from>
    <xdr:to>
      <xdr:col>16</xdr:col>
      <xdr:colOff>1</xdr:colOff>
      <xdr:row>5</xdr:row>
      <xdr:rowOff>558084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pSpPr/>
      </xdr:nvGrpSpPr>
      <xdr:grpSpPr>
        <a:xfrm>
          <a:off x="580845" y="217146"/>
          <a:ext cx="19777256" cy="2334838"/>
          <a:chOff x="596085" y="217146"/>
          <a:chExt cx="20069356" cy="2352618"/>
        </a:xfrm>
      </xdr:grpSpPr>
      <xdr:sp macro="" textlink="">
        <xdr:nvSpPr>
          <xdr:cNvPr id="14" name="Rectangle 13">
            <a:extLst>
              <a:ext uri="{FF2B5EF4-FFF2-40B4-BE49-F238E27FC236}">
                <a16:creationId xmlns:a16="http://schemas.microsoft.com/office/drawing/2014/main" id="{00000000-0008-0000-0600-00000E000000}"/>
              </a:ext>
            </a:extLst>
          </xdr:cNvPr>
          <xdr:cNvSpPr/>
        </xdr:nvSpPr>
        <xdr:spPr>
          <a:xfrm>
            <a:off x="16581120" y="706309"/>
            <a:ext cx="4084321" cy="186345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2400">
                <a:solidFill>
                  <a:schemeClr val="tx1"/>
                </a:solidFill>
              </a:rPr>
              <a:t>MÜŞTERİ LOGOSUNU BU ALANA KONUMLANDIRABİLİRSİNİZ.</a:t>
            </a:r>
          </a:p>
        </xdr:txBody>
      </xdr:sp>
      <xdr:pic>
        <xdr:nvPicPr>
          <xdr:cNvPr id="15" name="Picture 14">
            <a:extLst>
              <a:ext uri="{FF2B5EF4-FFF2-40B4-BE49-F238E27FC236}">
                <a16:creationId xmlns:a16="http://schemas.microsoft.com/office/drawing/2014/main" id="{00000000-0008-0000-06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596085" y="217146"/>
            <a:ext cx="4187550" cy="20955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123645</xdr:colOff>
      <xdr:row>0</xdr:row>
      <xdr:rowOff>217146</xdr:rowOff>
    </xdr:from>
    <xdr:to>
      <xdr:col>16</xdr:col>
      <xdr:colOff>1</xdr:colOff>
      <xdr:row>5</xdr:row>
      <xdr:rowOff>558084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pSpPr/>
      </xdr:nvGrpSpPr>
      <xdr:grpSpPr>
        <a:xfrm>
          <a:off x="580845" y="217146"/>
          <a:ext cx="19777256" cy="2334838"/>
          <a:chOff x="596085" y="217146"/>
          <a:chExt cx="20069356" cy="2352618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00000000-0008-0000-0700-000009000000}"/>
              </a:ext>
            </a:extLst>
          </xdr:cNvPr>
          <xdr:cNvSpPr/>
        </xdr:nvSpPr>
        <xdr:spPr>
          <a:xfrm>
            <a:off x="16581120" y="706309"/>
            <a:ext cx="4084321" cy="186345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2400">
                <a:solidFill>
                  <a:schemeClr val="tx1"/>
                </a:solidFill>
              </a:rPr>
              <a:t>MÜŞTERİ LOGOSUNU BU ALANA KONUMLANDIRABİLİRSİNİZ.</a:t>
            </a:r>
          </a:p>
        </xdr:txBody>
      </xdr:sp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00000000-0008-0000-07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596085" y="217146"/>
            <a:ext cx="4187550" cy="20955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123645</xdr:colOff>
      <xdr:row>0</xdr:row>
      <xdr:rowOff>217146</xdr:rowOff>
    </xdr:from>
    <xdr:to>
      <xdr:col>16</xdr:col>
      <xdr:colOff>1</xdr:colOff>
      <xdr:row>5</xdr:row>
      <xdr:rowOff>558084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GrpSpPr/>
      </xdr:nvGrpSpPr>
      <xdr:grpSpPr>
        <a:xfrm>
          <a:off x="580845" y="217146"/>
          <a:ext cx="19777256" cy="2334838"/>
          <a:chOff x="596085" y="217146"/>
          <a:chExt cx="20069356" cy="2352618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00000000-0008-0000-0800-000009000000}"/>
              </a:ext>
            </a:extLst>
          </xdr:cNvPr>
          <xdr:cNvSpPr/>
        </xdr:nvSpPr>
        <xdr:spPr>
          <a:xfrm>
            <a:off x="16581120" y="706309"/>
            <a:ext cx="4084321" cy="186345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2400">
                <a:solidFill>
                  <a:schemeClr val="tx1"/>
                </a:solidFill>
              </a:rPr>
              <a:t>MÜŞTERİ LOGOSUNU BU ALANA KONUMLANDIRABİLİRSİNİZ.</a:t>
            </a:r>
          </a:p>
        </xdr:txBody>
      </xdr:sp>
      <xdr:pic>
        <xdr:nvPicPr>
          <xdr:cNvPr id="15" name="Picture 14">
            <a:extLst>
              <a:ext uri="{FF2B5EF4-FFF2-40B4-BE49-F238E27FC236}">
                <a16:creationId xmlns:a16="http://schemas.microsoft.com/office/drawing/2014/main" id="{00000000-0008-0000-08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596085" y="217146"/>
            <a:ext cx="4187550" cy="20955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rek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Custom 1">
      <a:majorFont>
        <a:latin typeface="Georgia"/>
        <a:ea typeface=""/>
        <a:cs typeface=""/>
      </a:majorFont>
      <a:minorFont>
        <a:latin typeface="Cambria"/>
        <a:ea typeface=""/>
        <a:cs typeface=""/>
      </a:minorFont>
    </a:fontScheme>
    <a:fmtScheme name="Trek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0.499984740745262"/>
    <pageSetUpPr fitToPage="1"/>
  </sheetPr>
  <dimension ref="A1:CJ302"/>
  <sheetViews>
    <sheetView showGridLines="0" zoomScale="50" zoomScaleNormal="50" workbookViewId="0">
      <selection activeCell="Q7" sqref="Q7"/>
    </sheetView>
  </sheetViews>
  <sheetFormatPr defaultColWidth="6.69140625" defaultRowHeight="14" x14ac:dyDescent="0.3"/>
  <cols>
    <col min="1" max="1" width="5.53515625" style="1" customWidth="1"/>
    <col min="2" max="2" width="18.07421875" style="1" bestFit="1" customWidth="1"/>
    <col min="3" max="3" width="24.23046875" style="1" customWidth="1"/>
    <col min="4" max="4" width="7.4609375" style="14" customWidth="1"/>
    <col min="5" max="5" width="24.23046875" style="1" customWidth="1"/>
    <col min="6" max="6" width="7.4609375" style="14" customWidth="1"/>
    <col min="7" max="7" width="24.23046875" style="1" customWidth="1"/>
    <col min="8" max="8" width="7.4609375" style="14" customWidth="1"/>
    <col min="9" max="9" width="24.23046875" style="1" customWidth="1"/>
    <col min="10" max="10" width="7.4609375" style="14" customWidth="1"/>
    <col min="11" max="11" width="24.23046875" style="1" customWidth="1"/>
    <col min="12" max="12" width="7.4609375" style="14" customWidth="1"/>
    <col min="13" max="13" width="24.23046875" style="1" customWidth="1"/>
    <col min="14" max="14" width="7.4609375" style="14" customWidth="1"/>
    <col min="15" max="15" width="24.23046875" style="1" customWidth="1"/>
    <col min="16" max="16" width="7.4609375" style="14" customWidth="1"/>
    <col min="17" max="17" width="13.3046875" style="1" customWidth="1"/>
    <col min="18" max="18" width="31.3046875" style="1" customWidth="1"/>
    <col min="19" max="19" width="11.84375" style="1" customWidth="1"/>
    <col min="20" max="20" width="11.3046875" style="1" customWidth="1"/>
    <col min="21" max="16384" width="6.69140625" style="1"/>
  </cols>
  <sheetData>
    <row r="1" spans="1:88" ht="49.75" customHeight="1" x14ac:dyDescent="0.3">
      <c r="R1" s="162" t="s">
        <v>26</v>
      </c>
      <c r="S1" s="162"/>
    </row>
    <row r="2" spans="1:88" ht="13.75" customHeight="1" x14ac:dyDescent="0.3">
      <c r="R2" s="162"/>
      <c r="S2" s="162"/>
    </row>
    <row r="3" spans="1:88" ht="19.399999999999999" customHeight="1" x14ac:dyDescent="0.3">
      <c r="B3" s="9"/>
      <c r="R3" s="162"/>
      <c r="S3" s="162"/>
      <c r="BB3" s="9"/>
      <c r="BC3" s="9"/>
      <c r="BD3" s="9"/>
    </row>
    <row r="4" spans="1:88" ht="43.75" customHeight="1" x14ac:dyDescent="0.65">
      <c r="B4" s="172"/>
      <c r="C4" s="172"/>
      <c r="R4" s="162"/>
      <c r="S4" s="162"/>
      <c r="BB4" s="9"/>
      <c r="BC4" s="9"/>
      <c r="BD4" s="9"/>
      <c r="BK4" s="160"/>
      <c r="BL4" s="160"/>
      <c r="BM4" s="160"/>
      <c r="BN4" s="160"/>
      <c r="CG4" s="11"/>
      <c r="CH4" s="13"/>
      <c r="CI4" s="11"/>
    </row>
    <row r="5" spans="1:88" ht="30" customHeight="1" x14ac:dyDescent="0.65">
      <c r="B5" s="172"/>
      <c r="C5" s="172"/>
      <c r="D5" s="15"/>
      <c r="F5" s="15"/>
      <c r="H5" s="15"/>
      <c r="I5" s="9"/>
      <c r="J5" s="15"/>
      <c r="K5" s="9"/>
      <c r="L5" s="15"/>
      <c r="M5" s="9"/>
      <c r="N5" s="15"/>
      <c r="O5" s="9"/>
      <c r="P5" s="15"/>
      <c r="R5" s="44">
        <v>2021</v>
      </c>
      <c r="S5" s="44"/>
      <c r="BB5" s="9"/>
      <c r="BC5" s="9"/>
      <c r="BD5" s="9"/>
      <c r="BH5" s="9"/>
      <c r="BI5" s="9"/>
      <c r="BJ5" s="9"/>
      <c r="BK5" s="160"/>
      <c r="BL5" s="160"/>
      <c r="BM5" s="160"/>
      <c r="BN5" s="160"/>
      <c r="BO5" s="9"/>
      <c r="BP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12"/>
      <c r="CH5" s="12"/>
      <c r="CI5" s="12"/>
      <c r="CJ5" s="9"/>
    </row>
    <row r="6" spans="1:88" ht="48.65" customHeight="1" x14ac:dyDescent="0.65">
      <c r="F6" s="16"/>
      <c r="G6" s="173" t="s">
        <v>0</v>
      </c>
      <c r="H6" s="173"/>
      <c r="I6" s="59" t="str">
        <f>UPPER(TEXT(DATE(CalendarYear,1,1)," yyyy"))</f>
        <v xml:space="preserve"> 2021</v>
      </c>
      <c r="J6" s="16"/>
      <c r="K6" s="7"/>
      <c r="L6" s="16"/>
      <c r="N6" s="16"/>
      <c r="R6" s="43"/>
      <c r="S6" s="43"/>
      <c r="BO6" s="7"/>
      <c r="BP6" s="8"/>
      <c r="BR6" s="7"/>
      <c r="BS6" s="8"/>
      <c r="BT6" s="7"/>
      <c r="BU6" s="7"/>
      <c r="BV6" s="8"/>
      <c r="BW6" s="7"/>
      <c r="BX6" s="7"/>
      <c r="BY6" s="8"/>
      <c r="CA6" s="7"/>
      <c r="CB6" s="161"/>
      <c r="CC6" s="161"/>
      <c r="CD6" s="10"/>
      <c r="CE6" s="8"/>
      <c r="CG6" s="11"/>
      <c r="CH6" s="11"/>
      <c r="CI6" s="11"/>
    </row>
    <row r="7" spans="1:88" customFormat="1" ht="26.25" customHeight="1" x14ac:dyDescent="0.3">
      <c r="A7" s="1"/>
      <c r="B7" s="20"/>
      <c r="C7" s="60" t="s">
        <v>7</v>
      </c>
      <c r="D7" s="60"/>
      <c r="E7" s="60" t="s">
        <v>8</v>
      </c>
      <c r="F7" s="60"/>
      <c r="G7" s="60" t="s">
        <v>9</v>
      </c>
      <c r="H7" s="60"/>
      <c r="I7" s="60" t="s">
        <v>10</v>
      </c>
      <c r="J7" s="60"/>
      <c r="K7" s="60" t="s">
        <v>11</v>
      </c>
      <c r="L7" s="60"/>
      <c r="M7" s="60" t="s">
        <v>12</v>
      </c>
      <c r="N7" s="60"/>
      <c r="O7" s="60" t="s">
        <v>13</v>
      </c>
      <c r="P7" s="45"/>
      <c r="Q7" s="1"/>
      <c r="S7" s="1"/>
      <c r="T7" s="6"/>
      <c r="X7" s="1"/>
      <c r="Y7" s="1"/>
    </row>
    <row r="8" spans="1:88" s="51" customFormat="1" ht="18" customHeight="1" x14ac:dyDescent="0.3">
      <c r="B8" s="52"/>
      <c r="C8" s="55" t="str">
        <f>IF(DAY(JanSun1)=1,"",IF(AND(YEAR(JanSun1+1)=CalendarYear,MONTH(JanSun1+1)=1),JanSun1+1,""))</f>
        <v/>
      </c>
      <c r="D8" s="61" t="s">
        <v>29</v>
      </c>
      <c r="E8" s="55" t="str">
        <f>IF(DAY(JanSun1)=1,"",IF(AND(YEAR(JanSun1+2)=CalendarYear,MONTH(JanSun1+2)=1),JanSun1+2,""))</f>
        <v/>
      </c>
      <c r="F8" s="61" t="s">
        <v>29</v>
      </c>
      <c r="G8" s="56" t="str">
        <f>IF(DAY(JanSun1)=1,"",IF(AND(YEAR(JanSun1+3)=CalendarYear,MONTH(JanSun1+3)=1),JanSun1+3,""))</f>
        <v/>
      </c>
      <c r="H8" s="61" t="s">
        <v>29</v>
      </c>
      <c r="I8" s="56" t="str">
        <f>IF(DAY(JanSun1)=1,"",IF(AND(YEAR(JanSun1+4)=CalendarYear,MONTH(JanSun1+4)=1),JanSun1+4,""))</f>
        <v/>
      </c>
      <c r="J8" s="61" t="s">
        <v>29</v>
      </c>
      <c r="K8" s="56">
        <f>IF(DAY(JanSun1)=1,"",IF(AND(YEAR(JanSun1+5)=CalendarYear,MONTH(JanSun1+5)=1),JanSun1+5,""))</f>
        <v>44197</v>
      </c>
      <c r="L8" s="61" t="s">
        <v>29</v>
      </c>
      <c r="M8" s="56">
        <f>IF(DAY(JanSun1)=1,"",IF(AND(YEAR(JanSun1+6)=CalendarYear,MONTH(JanSun1+6)=1),JanSun1+6,""))</f>
        <v>44198</v>
      </c>
      <c r="N8" s="61" t="s">
        <v>29</v>
      </c>
      <c r="O8" s="56">
        <f>IF(DAY(JanSun1)=1,IF(AND(YEAR(JanSun1)=CalendarYear,MONTH(JanSun1)=1),JanSun1,""),IF(AND(YEAR(JanSun1+7)=CalendarYear,MONTH(JanSun1+7)=1),JanSun1+7,""))</f>
        <v>44199</v>
      </c>
      <c r="P8" s="61" t="s">
        <v>29</v>
      </c>
      <c r="Q8" s="47"/>
      <c r="T8" s="53"/>
      <c r="U8" s="54"/>
    </row>
    <row r="9" spans="1:88" s="23" customFormat="1" ht="17.5" customHeight="1" x14ac:dyDescent="0.45">
      <c r="B9" s="50" t="s">
        <v>1</v>
      </c>
      <c r="C9" s="25"/>
      <c r="D9" s="26"/>
      <c r="E9" s="25"/>
      <c r="F9" s="26"/>
      <c r="G9" s="27"/>
      <c r="H9" s="26"/>
      <c r="I9" s="27"/>
      <c r="J9" s="26"/>
      <c r="K9" s="27"/>
      <c r="L9" s="26"/>
      <c r="M9" s="27"/>
      <c r="N9" s="26"/>
      <c r="O9" s="27"/>
      <c r="P9" s="26"/>
      <c r="Q9" s="22"/>
    </row>
    <row r="10" spans="1:88" s="23" customFormat="1" ht="17.5" customHeight="1" x14ac:dyDescent="0.45">
      <c r="B10" s="50" t="s">
        <v>2</v>
      </c>
      <c r="C10" s="28"/>
      <c r="D10" s="29"/>
      <c r="E10" s="28"/>
      <c r="F10" s="29"/>
      <c r="G10" s="30"/>
      <c r="H10" s="29"/>
      <c r="I10" s="30"/>
      <c r="J10" s="29"/>
      <c r="K10" s="30"/>
      <c r="L10" s="29"/>
      <c r="M10" s="30"/>
      <c r="N10" s="29"/>
      <c r="O10" s="30"/>
      <c r="P10" s="29"/>
      <c r="Q10" s="22"/>
    </row>
    <row r="11" spans="1:88" s="23" customFormat="1" ht="17.5" customHeight="1" x14ac:dyDescent="0.45">
      <c r="B11" s="50" t="s">
        <v>3</v>
      </c>
      <c r="C11" s="28"/>
      <c r="D11" s="29"/>
      <c r="E11" s="28"/>
      <c r="F11" s="29"/>
      <c r="G11" s="30"/>
      <c r="H11" s="29"/>
      <c r="I11" s="30"/>
      <c r="J11" s="29"/>
      <c r="K11" s="30"/>
      <c r="L11" s="29"/>
      <c r="M11" s="30"/>
      <c r="N11" s="29"/>
      <c r="O11" s="30"/>
      <c r="P11" s="29"/>
      <c r="Q11" s="22"/>
    </row>
    <row r="12" spans="1:88" s="23" customFormat="1" ht="17.5" customHeight="1" x14ac:dyDescent="0.45">
      <c r="B12" s="50" t="s">
        <v>4</v>
      </c>
      <c r="C12" s="28"/>
      <c r="D12" s="29"/>
      <c r="E12" s="28"/>
      <c r="F12" s="29"/>
      <c r="G12" s="30"/>
      <c r="H12" s="29"/>
      <c r="I12" s="30"/>
      <c r="J12" s="29"/>
      <c r="K12" s="30"/>
      <c r="L12" s="29"/>
      <c r="M12" s="30"/>
      <c r="N12" s="29"/>
      <c r="O12" s="30"/>
      <c r="P12" s="29"/>
      <c r="Q12" s="22"/>
    </row>
    <row r="13" spans="1:88" s="23" customFormat="1" ht="17.5" customHeight="1" x14ac:dyDescent="0.45">
      <c r="B13" s="50" t="s">
        <v>2</v>
      </c>
      <c r="C13" s="28"/>
      <c r="D13" s="29"/>
      <c r="E13" s="28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22"/>
    </row>
    <row r="14" spans="1:88" s="23" customFormat="1" ht="17.5" customHeight="1" x14ac:dyDescent="0.45">
      <c r="B14" s="50"/>
      <c r="C14" s="28"/>
      <c r="D14" s="29"/>
      <c r="E14" s="28"/>
      <c r="F14" s="29"/>
      <c r="G14" s="30"/>
      <c r="H14" s="29"/>
      <c r="I14" s="30"/>
      <c r="J14" s="29"/>
      <c r="K14" s="30"/>
      <c r="L14" s="29"/>
      <c r="M14" s="30"/>
      <c r="N14" s="29"/>
      <c r="O14" s="30"/>
      <c r="P14" s="29"/>
      <c r="Q14" s="22"/>
    </row>
    <row r="15" spans="1:88" s="23" customFormat="1" ht="17.5" customHeight="1" x14ac:dyDescent="0.45">
      <c r="B15" s="50" t="s">
        <v>6</v>
      </c>
      <c r="C15" s="28"/>
      <c r="D15" s="29"/>
      <c r="E15" s="28"/>
      <c r="F15" s="29"/>
      <c r="G15" s="30"/>
      <c r="H15" s="29"/>
      <c r="I15" s="30"/>
      <c r="J15" s="29"/>
      <c r="K15" s="30"/>
      <c r="L15" s="29"/>
      <c r="M15" s="30"/>
      <c r="N15" s="29"/>
      <c r="O15" s="30"/>
      <c r="P15" s="29"/>
      <c r="Q15" s="22"/>
    </row>
    <row r="16" spans="1:88" s="23" customFormat="1" ht="17.5" customHeight="1" x14ac:dyDescent="0.45">
      <c r="B16" s="50"/>
      <c r="C16" s="28"/>
      <c r="D16" s="29"/>
      <c r="E16" s="28"/>
      <c r="F16" s="29"/>
      <c r="G16" s="30"/>
      <c r="H16" s="29"/>
      <c r="I16" s="30"/>
      <c r="J16" s="29"/>
      <c r="K16" s="30"/>
      <c r="L16" s="29"/>
      <c r="M16" s="30"/>
      <c r="N16" s="29"/>
      <c r="O16" s="30"/>
      <c r="P16" s="29"/>
      <c r="Q16" s="22"/>
    </row>
    <row r="17" spans="2:21" s="23" customFormat="1" ht="17.5" customHeight="1" x14ac:dyDescent="0.35">
      <c r="B17" s="48"/>
      <c r="C17" s="28"/>
      <c r="D17" s="29"/>
      <c r="E17" s="28"/>
      <c r="F17" s="29"/>
      <c r="G17" s="30"/>
      <c r="H17" s="29"/>
      <c r="I17" s="30"/>
      <c r="J17" s="29"/>
      <c r="K17" s="30"/>
      <c r="L17" s="29"/>
      <c r="M17" s="30"/>
      <c r="N17" s="29"/>
      <c r="O17" s="30"/>
      <c r="P17" s="29"/>
      <c r="Q17" s="22"/>
    </row>
    <row r="18" spans="2:21" s="23" customFormat="1" ht="17.5" customHeight="1" x14ac:dyDescent="0.35">
      <c r="B18" s="48"/>
      <c r="C18" s="28"/>
      <c r="D18" s="29"/>
      <c r="E18" s="28"/>
      <c r="F18" s="29"/>
      <c r="G18" s="30"/>
      <c r="H18" s="29"/>
      <c r="I18" s="30"/>
      <c r="J18" s="29"/>
      <c r="K18" s="30"/>
      <c r="L18" s="29"/>
      <c r="M18" s="30"/>
      <c r="N18" s="29"/>
      <c r="O18" s="30"/>
      <c r="P18" s="29"/>
      <c r="Q18" s="22"/>
    </row>
    <row r="19" spans="2:21" s="23" customFormat="1" ht="17.5" customHeight="1" x14ac:dyDescent="0.35">
      <c r="B19" s="48"/>
      <c r="C19" s="28"/>
      <c r="D19" s="29"/>
      <c r="E19" s="28"/>
      <c r="F19" s="29"/>
      <c r="G19" s="30"/>
      <c r="H19" s="29"/>
      <c r="I19" s="30"/>
      <c r="J19" s="29"/>
      <c r="K19" s="30"/>
      <c r="L19" s="29"/>
      <c r="M19" s="30"/>
      <c r="N19" s="29"/>
      <c r="O19" s="30"/>
      <c r="P19" s="29"/>
      <c r="Q19" s="22"/>
    </row>
    <row r="20" spans="2:21" s="23" customFormat="1" ht="17.5" customHeight="1" x14ac:dyDescent="0.35">
      <c r="B20" s="49"/>
      <c r="C20" s="31" t="s">
        <v>5</v>
      </c>
      <c r="D20" s="32"/>
      <c r="E20" s="31" t="s">
        <v>5</v>
      </c>
      <c r="F20" s="32"/>
      <c r="G20" s="33" t="s">
        <v>5</v>
      </c>
      <c r="H20" s="32"/>
      <c r="I20" s="33" t="s">
        <v>5</v>
      </c>
      <c r="J20" s="32"/>
      <c r="K20" s="33" t="s">
        <v>5</v>
      </c>
      <c r="L20" s="32"/>
      <c r="M20" s="33" t="s">
        <v>5</v>
      </c>
      <c r="N20" s="32"/>
      <c r="O20" s="33" t="s">
        <v>5</v>
      </c>
      <c r="P20" s="32"/>
      <c r="Q20" s="22"/>
    </row>
    <row r="21" spans="2:21" s="51" customFormat="1" ht="18" customHeight="1" x14ac:dyDescent="0.3">
      <c r="B21" s="52"/>
      <c r="C21" s="55">
        <f>IF(DAY(JanSun1)=1,IF(AND(YEAR(JanSun1+1)=CalendarYear,MONTH(JanSun1+1)=1),JanSun1+1,""),IF(AND(YEAR(JanSun1+8)=CalendarYear,MONTH(JanSun1+8)=1),JanSun1+8,""))</f>
        <v>44200</v>
      </c>
      <c r="D21" s="61" t="s">
        <v>29</v>
      </c>
      <c r="E21" s="55">
        <f>IF(DAY(JanSun1)=1,IF(AND(YEAR(JanSun1+2)=CalendarYear,MONTH(JanSun1+2)=1),JanSun1+2,""),IF(AND(YEAR(JanSun1+9)=CalendarYear,MONTH(JanSun1+9)=1),JanSun1+9,""))</f>
        <v>44201</v>
      </c>
      <c r="F21" s="61" t="s">
        <v>29</v>
      </c>
      <c r="G21" s="56">
        <f>IF(DAY(JanSun1)=1,IF(AND(YEAR(JanSun1+3)=CalendarYear,MONTH(JanSun1+3)=1),JanSun1+3,""),IF(AND(YEAR(JanSun1+10)=CalendarYear,MONTH(JanSun1+10)=1),JanSun1+10,""))</f>
        <v>44202</v>
      </c>
      <c r="H21" s="61" t="s">
        <v>29</v>
      </c>
      <c r="I21" s="56">
        <f>IF(DAY(JanSun1)=1,IF(AND(YEAR(JanSun1+4)=CalendarYear,MONTH(JanSun1+4)=1),JanSun1+4,""),IF(AND(YEAR(JanSun1+11)=CalendarYear,MONTH(JanSun1+11)=1),JanSun1+11,""))</f>
        <v>44203</v>
      </c>
      <c r="J21" s="61" t="s">
        <v>29</v>
      </c>
      <c r="K21" s="56">
        <f>IF(DAY(JanSun1)=1,IF(AND(YEAR(JanSun1+5)=CalendarYear,MONTH(JanSun1+5)=1),JanSun1+5,""),IF(AND(YEAR(JanSun1+12)=CalendarYear,MONTH(JanSun1+12)=1),JanSun1+12,""))</f>
        <v>44204</v>
      </c>
      <c r="L21" s="61" t="s">
        <v>29</v>
      </c>
      <c r="M21" s="56">
        <f>IF(DAY(JanSun1)=1,IF(AND(YEAR(JanSun1+6)=CalendarYear,MONTH(JanSun1+6)=1),JanSun1+6,""),IF(AND(YEAR(JanSun1+13)=CalendarYear,MONTH(JanSun1+13)=1),JanSun1+13,""))</f>
        <v>44205</v>
      </c>
      <c r="N21" s="61" t="s">
        <v>29</v>
      </c>
      <c r="O21" s="56">
        <f>IF(DAY(JanSun1)=1,IF(AND(YEAR(JanSun1+7)=CalendarYear,MONTH(JanSun1+7)=1),JanSun1+7,""),IF(AND(YEAR(JanSun1+14)=CalendarYear,MONTH(JanSun1+14)=1),JanSun1+14,""))</f>
        <v>44206</v>
      </c>
      <c r="P21" s="61" t="s">
        <v>29</v>
      </c>
      <c r="Q21" s="47"/>
      <c r="T21" s="53"/>
      <c r="U21" s="54"/>
    </row>
    <row r="22" spans="2:21" s="23" customFormat="1" ht="17.5" customHeight="1" x14ac:dyDescent="0.45">
      <c r="B22" s="50" t="s">
        <v>1</v>
      </c>
      <c r="C22" s="34"/>
      <c r="D22" s="35"/>
      <c r="E22" s="34"/>
      <c r="F22" s="35"/>
      <c r="G22" s="36"/>
      <c r="H22" s="35"/>
      <c r="I22" s="36"/>
      <c r="J22" s="35"/>
      <c r="K22" s="36"/>
      <c r="L22" s="35"/>
      <c r="M22" s="36"/>
      <c r="N22" s="35"/>
      <c r="O22" s="36"/>
      <c r="P22" s="35"/>
      <c r="Q22" s="22"/>
    </row>
    <row r="23" spans="2:21" s="23" customFormat="1" ht="17.5" customHeight="1" x14ac:dyDescent="0.45">
      <c r="B23" s="50" t="s">
        <v>2</v>
      </c>
      <c r="C23" s="37"/>
      <c r="D23" s="38"/>
      <c r="E23" s="37"/>
      <c r="F23" s="38"/>
      <c r="G23" s="39"/>
      <c r="H23" s="38"/>
      <c r="I23" s="39"/>
      <c r="J23" s="38"/>
      <c r="K23" s="39"/>
      <c r="L23" s="38"/>
      <c r="M23" s="39"/>
      <c r="N23" s="38"/>
      <c r="O23" s="39"/>
      <c r="P23" s="38"/>
      <c r="Q23" s="22"/>
    </row>
    <row r="24" spans="2:21" s="23" customFormat="1" ht="17.5" customHeight="1" x14ac:dyDescent="0.45">
      <c r="B24" s="50" t="s">
        <v>3</v>
      </c>
      <c r="C24" s="37"/>
      <c r="D24" s="38"/>
      <c r="E24" s="37"/>
      <c r="F24" s="38"/>
      <c r="G24" s="39"/>
      <c r="H24" s="38"/>
      <c r="I24" s="39"/>
      <c r="J24" s="38"/>
      <c r="K24" s="39"/>
      <c r="L24" s="38"/>
      <c r="M24" s="39"/>
      <c r="N24" s="38"/>
      <c r="O24" s="39"/>
      <c r="P24" s="38"/>
      <c r="Q24" s="22"/>
    </row>
    <row r="25" spans="2:21" s="23" customFormat="1" ht="17.5" customHeight="1" x14ac:dyDescent="0.45">
      <c r="B25" s="50" t="s">
        <v>4</v>
      </c>
      <c r="C25" s="37"/>
      <c r="D25" s="38"/>
      <c r="E25" s="37"/>
      <c r="F25" s="38"/>
      <c r="G25" s="39"/>
      <c r="H25" s="38"/>
      <c r="I25" s="39"/>
      <c r="J25" s="38"/>
      <c r="K25" s="39"/>
      <c r="L25" s="38"/>
      <c r="M25" s="39"/>
      <c r="N25" s="38"/>
      <c r="O25" s="39"/>
      <c r="P25" s="38"/>
      <c r="Q25" s="22"/>
    </row>
    <row r="26" spans="2:21" s="23" customFormat="1" ht="17.5" customHeight="1" x14ac:dyDescent="0.45">
      <c r="B26" s="50" t="s">
        <v>2</v>
      </c>
      <c r="C26" s="37"/>
      <c r="D26" s="38"/>
      <c r="E26" s="37"/>
      <c r="F26" s="38"/>
      <c r="G26" s="39"/>
      <c r="H26" s="38"/>
      <c r="I26" s="39"/>
      <c r="J26" s="38"/>
      <c r="K26" s="39"/>
      <c r="L26" s="38"/>
      <c r="M26" s="39"/>
      <c r="N26" s="38"/>
      <c r="O26" s="39"/>
      <c r="P26" s="38"/>
      <c r="Q26" s="22"/>
    </row>
    <row r="27" spans="2:21" s="23" customFormat="1" ht="17.5" customHeight="1" x14ac:dyDescent="0.45">
      <c r="B27" s="50"/>
      <c r="C27" s="37"/>
      <c r="D27" s="38"/>
      <c r="E27" s="37"/>
      <c r="F27" s="38"/>
      <c r="G27" s="39"/>
      <c r="H27" s="38"/>
      <c r="I27" s="39"/>
      <c r="J27" s="38"/>
      <c r="K27" s="39"/>
      <c r="L27" s="38"/>
      <c r="M27" s="39"/>
      <c r="N27" s="38"/>
      <c r="O27" s="39"/>
      <c r="P27" s="38"/>
      <c r="Q27" s="22"/>
    </row>
    <row r="28" spans="2:21" s="23" customFormat="1" ht="17.5" customHeight="1" x14ac:dyDescent="0.45">
      <c r="B28" s="50" t="s">
        <v>6</v>
      </c>
      <c r="C28" s="37"/>
      <c r="D28" s="38"/>
      <c r="E28" s="37"/>
      <c r="F28" s="38"/>
      <c r="G28" s="39"/>
      <c r="H28" s="38"/>
      <c r="I28" s="39"/>
      <c r="J28" s="38"/>
      <c r="K28" s="39"/>
      <c r="L28" s="38"/>
      <c r="M28" s="39"/>
      <c r="N28" s="38"/>
      <c r="O28" s="39"/>
      <c r="P28" s="38"/>
      <c r="Q28" s="22"/>
    </row>
    <row r="29" spans="2:21" s="23" customFormat="1" ht="17.5" customHeight="1" x14ac:dyDescent="0.35">
      <c r="B29" s="48"/>
      <c r="C29" s="37"/>
      <c r="D29" s="38"/>
      <c r="E29" s="37"/>
      <c r="F29" s="38"/>
      <c r="G29" s="39"/>
      <c r="H29" s="38"/>
      <c r="I29" s="39"/>
      <c r="J29" s="38"/>
      <c r="K29" s="39"/>
      <c r="L29" s="38"/>
      <c r="M29" s="39"/>
      <c r="N29" s="38"/>
      <c r="O29" s="39"/>
      <c r="P29" s="38"/>
      <c r="Q29" s="22"/>
    </row>
    <row r="30" spans="2:21" s="23" customFormat="1" ht="17.5" customHeight="1" x14ac:dyDescent="0.35">
      <c r="B30" s="48"/>
      <c r="C30" s="37"/>
      <c r="D30" s="38"/>
      <c r="E30" s="37"/>
      <c r="F30" s="38"/>
      <c r="G30" s="39"/>
      <c r="H30" s="38"/>
      <c r="I30" s="39"/>
      <c r="J30" s="38"/>
      <c r="K30" s="39"/>
      <c r="L30" s="38"/>
      <c r="M30" s="39"/>
      <c r="N30" s="38"/>
      <c r="O30" s="39"/>
      <c r="P30" s="38"/>
      <c r="Q30" s="22"/>
    </row>
    <row r="31" spans="2:21" s="23" customFormat="1" ht="17.5" customHeight="1" x14ac:dyDescent="0.35">
      <c r="B31" s="48"/>
      <c r="C31" s="37"/>
      <c r="D31" s="38"/>
      <c r="E31" s="37"/>
      <c r="F31" s="38"/>
      <c r="G31" s="39"/>
      <c r="H31" s="38"/>
      <c r="I31" s="39"/>
      <c r="J31" s="38"/>
      <c r="K31" s="39"/>
      <c r="L31" s="38"/>
      <c r="M31" s="39"/>
      <c r="N31" s="38"/>
      <c r="O31" s="39"/>
      <c r="P31" s="38"/>
      <c r="Q31" s="22"/>
    </row>
    <row r="32" spans="2:21" s="23" customFormat="1" ht="17.5" customHeight="1" x14ac:dyDescent="0.35">
      <c r="B32" s="48"/>
      <c r="C32" s="37"/>
      <c r="D32" s="38"/>
      <c r="E32" s="37"/>
      <c r="F32" s="38"/>
      <c r="G32" s="39"/>
      <c r="H32" s="38"/>
      <c r="I32" s="39"/>
      <c r="J32" s="38"/>
      <c r="K32" s="39"/>
      <c r="L32" s="38"/>
      <c r="M32" s="39"/>
      <c r="N32" s="38"/>
      <c r="O32" s="39"/>
      <c r="P32" s="38"/>
      <c r="Q32" s="22"/>
    </row>
    <row r="33" spans="2:21" s="23" customFormat="1" ht="17.5" customHeight="1" x14ac:dyDescent="0.35">
      <c r="B33" s="49"/>
      <c r="C33" s="40" t="s">
        <v>5</v>
      </c>
      <c r="D33" s="41"/>
      <c r="E33" s="40" t="s">
        <v>5</v>
      </c>
      <c r="F33" s="41"/>
      <c r="G33" s="42" t="s">
        <v>5</v>
      </c>
      <c r="H33" s="41"/>
      <c r="I33" s="42" t="s">
        <v>5</v>
      </c>
      <c r="J33" s="41"/>
      <c r="K33" s="42" t="s">
        <v>5</v>
      </c>
      <c r="L33" s="41"/>
      <c r="M33" s="42" t="s">
        <v>5</v>
      </c>
      <c r="N33" s="41"/>
      <c r="O33" s="42" t="s">
        <v>5</v>
      </c>
      <c r="P33" s="41"/>
      <c r="Q33" s="22"/>
    </row>
    <row r="34" spans="2:21" s="51" customFormat="1" ht="18" customHeight="1" x14ac:dyDescent="0.3">
      <c r="B34" s="52"/>
      <c r="C34" s="55">
        <f>IF(DAY(JanSun1)=1,IF(AND(YEAR(JanSun1+8)=CalendarYear,MONTH(JanSun1+8)=1),JanSun1+8,""),IF(AND(YEAR(JanSun1+15)=CalendarYear,MONTH(JanSun1+15)=1),JanSun1+15,""))</f>
        <v>44207</v>
      </c>
      <c r="D34" s="61" t="s">
        <v>29</v>
      </c>
      <c r="E34" s="55">
        <f>IF(DAY(JanSun1)=1,IF(AND(YEAR(JanSun1+9)=CalendarYear,MONTH(JanSun1+9)=1),JanSun1+9,""),IF(AND(YEAR(JanSun1+16)=CalendarYear,MONTH(JanSun1+16)=1),JanSun1+16,""))</f>
        <v>44208</v>
      </c>
      <c r="F34" s="61" t="s">
        <v>29</v>
      </c>
      <c r="G34" s="56">
        <f>IF(DAY(JanSun1)=1,IF(AND(YEAR(JanSun1+10)=CalendarYear,MONTH(JanSun1+10)=1),JanSun1+10,""),IF(AND(YEAR(JanSun1+17)=CalendarYear,MONTH(JanSun1+17)=1),JanSun1+17,""))</f>
        <v>44209</v>
      </c>
      <c r="H34" s="61" t="s">
        <v>29</v>
      </c>
      <c r="I34" s="56">
        <f>IF(DAY(JanSun1)=1,IF(AND(YEAR(JanSun1+11)=CalendarYear,MONTH(JanSun1+11)=1),JanSun1+11,""),IF(AND(YEAR(JanSun1+18)=CalendarYear,MONTH(JanSun1+18)=1),JanSun1+18,""))</f>
        <v>44210</v>
      </c>
      <c r="J34" s="61" t="s">
        <v>29</v>
      </c>
      <c r="K34" s="56">
        <f>IF(DAY(JanSun1)=1,IF(AND(YEAR(JanSun1+12)=CalendarYear,MONTH(JanSun1+12)=1),JanSun1+12,""),IF(AND(YEAR(JanSun1+19)=CalendarYear,MONTH(JanSun1+19)=1),JanSun1+19,""))</f>
        <v>44211</v>
      </c>
      <c r="L34" s="61" t="s">
        <v>29</v>
      </c>
      <c r="M34" s="56">
        <f>IF(DAY(JanSun1)=1,IF(AND(YEAR(JanSun1+13)=CalendarYear,MONTH(JanSun1+13)=1),JanSun1+13,""),IF(AND(YEAR(JanSun1+20)=CalendarYear,MONTH(JanSun1+20)=1),JanSun1+20,""))</f>
        <v>44212</v>
      </c>
      <c r="N34" s="61" t="s">
        <v>29</v>
      </c>
      <c r="O34" s="56">
        <f>IF(DAY(JanSun1)=1,IF(AND(YEAR(JanSun1+14)=CalendarYear,MONTH(JanSun1+14)=1),JanSun1+14,""),IF(AND(YEAR(JanSun1+21)=CalendarYear,MONTH(JanSun1+21)=1),JanSun1+21,""))</f>
        <v>44213</v>
      </c>
      <c r="P34" s="61" t="s">
        <v>29</v>
      </c>
      <c r="Q34" s="47"/>
      <c r="T34" s="53"/>
      <c r="U34" s="54"/>
    </row>
    <row r="35" spans="2:21" s="23" customFormat="1" ht="17.5" customHeight="1" x14ac:dyDescent="0.45">
      <c r="B35" s="50" t="s">
        <v>1</v>
      </c>
      <c r="C35" s="25"/>
      <c r="D35" s="26"/>
      <c r="E35" s="25"/>
      <c r="F35" s="26"/>
      <c r="G35" s="27"/>
      <c r="H35" s="26"/>
      <c r="I35" s="27"/>
      <c r="J35" s="26"/>
      <c r="K35" s="27"/>
      <c r="L35" s="26"/>
      <c r="M35" s="27"/>
      <c r="N35" s="26"/>
      <c r="O35" s="27"/>
      <c r="P35" s="26"/>
      <c r="Q35" s="22"/>
    </row>
    <row r="36" spans="2:21" s="23" customFormat="1" ht="17.5" customHeight="1" x14ac:dyDescent="0.45">
      <c r="B36" s="50" t="s">
        <v>2</v>
      </c>
      <c r="C36" s="28"/>
      <c r="D36" s="29"/>
      <c r="E36" s="28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22"/>
    </row>
    <row r="37" spans="2:21" s="23" customFormat="1" ht="17.5" customHeight="1" x14ac:dyDescent="0.45">
      <c r="B37" s="50" t="s">
        <v>3</v>
      </c>
      <c r="C37" s="28"/>
      <c r="D37" s="29"/>
      <c r="E37" s="28"/>
      <c r="F37" s="29"/>
      <c r="G37" s="30"/>
      <c r="H37" s="29"/>
      <c r="I37" s="30"/>
      <c r="J37" s="29"/>
      <c r="K37" s="30"/>
      <c r="L37" s="29"/>
      <c r="M37" s="30"/>
      <c r="N37" s="29"/>
      <c r="O37" s="30"/>
      <c r="P37" s="29"/>
      <c r="Q37" s="22"/>
    </row>
    <row r="38" spans="2:21" s="23" customFormat="1" ht="17.5" customHeight="1" x14ac:dyDescent="0.45">
      <c r="B38" s="50" t="s">
        <v>4</v>
      </c>
      <c r="C38" s="28"/>
      <c r="D38" s="29"/>
      <c r="E38" s="28"/>
      <c r="F38" s="29"/>
      <c r="G38" s="30"/>
      <c r="H38" s="29"/>
      <c r="I38" s="30"/>
      <c r="J38" s="29"/>
      <c r="K38" s="30"/>
      <c r="L38" s="29"/>
      <c r="M38" s="30"/>
      <c r="N38" s="29"/>
      <c r="O38" s="30"/>
      <c r="P38" s="29"/>
      <c r="Q38" s="22"/>
    </row>
    <row r="39" spans="2:21" s="23" customFormat="1" ht="17.5" customHeight="1" x14ac:dyDescent="0.45">
      <c r="B39" s="50" t="s">
        <v>2</v>
      </c>
      <c r="C39" s="28"/>
      <c r="D39" s="29"/>
      <c r="E39" s="28"/>
      <c r="F39" s="29"/>
      <c r="G39" s="30"/>
      <c r="H39" s="29"/>
      <c r="I39" s="30"/>
      <c r="J39" s="29"/>
      <c r="K39" s="30"/>
      <c r="L39" s="29"/>
      <c r="M39" s="30"/>
      <c r="N39" s="29"/>
      <c r="O39" s="30"/>
      <c r="P39" s="29"/>
      <c r="Q39" s="22"/>
    </row>
    <row r="40" spans="2:21" s="23" customFormat="1" ht="17.5" customHeight="1" x14ac:dyDescent="0.45">
      <c r="B40" s="50"/>
      <c r="C40" s="28"/>
      <c r="D40" s="29"/>
      <c r="E40" s="28"/>
      <c r="F40" s="29"/>
      <c r="G40" s="30"/>
      <c r="H40" s="29"/>
      <c r="I40" s="30"/>
      <c r="J40" s="29"/>
      <c r="K40" s="30"/>
      <c r="L40" s="29"/>
      <c r="M40" s="30"/>
      <c r="N40" s="29"/>
      <c r="O40" s="30"/>
      <c r="P40" s="29"/>
      <c r="Q40" s="22"/>
    </row>
    <row r="41" spans="2:21" s="23" customFormat="1" ht="17.5" customHeight="1" x14ac:dyDescent="0.45">
      <c r="B41" s="50" t="s">
        <v>6</v>
      </c>
      <c r="C41" s="28"/>
      <c r="D41" s="29"/>
      <c r="E41" s="28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22"/>
    </row>
    <row r="42" spans="2:21" s="23" customFormat="1" ht="17.5" customHeight="1" x14ac:dyDescent="0.35">
      <c r="B42" s="48"/>
      <c r="C42" s="28"/>
      <c r="D42" s="29"/>
      <c r="E42" s="28"/>
      <c r="F42" s="29"/>
      <c r="G42" s="30"/>
      <c r="H42" s="29"/>
      <c r="I42" s="30"/>
      <c r="J42" s="29"/>
      <c r="K42" s="30"/>
      <c r="L42" s="29"/>
      <c r="M42" s="30"/>
      <c r="N42" s="29"/>
      <c r="O42" s="30"/>
      <c r="P42" s="29"/>
      <c r="Q42" s="22"/>
    </row>
    <row r="43" spans="2:21" s="23" customFormat="1" ht="17.5" customHeight="1" x14ac:dyDescent="0.35">
      <c r="B43" s="48"/>
      <c r="C43" s="28"/>
      <c r="D43" s="29"/>
      <c r="E43" s="28"/>
      <c r="F43" s="29"/>
      <c r="G43" s="30"/>
      <c r="H43" s="29"/>
      <c r="I43" s="30"/>
      <c r="J43" s="29"/>
      <c r="K43" s="30"/>
      <c r="L43" s="29"/>
      <c r="M43" s="30"/>
      <c r="N43" s="29"/>
      <c r="O43" s="30"/>
      <c r="P43" s="29"/>
      <c r="Q43" s="22"/>
    </row>
    <row r="44" spans="2:21" s="23" customFormat="1" ht="17.5" customHeight="1" x14ac:dyDescent="0.35">
      <c r="B44" s="48"/>
      <c r="C44" s="28"/>
      <c r="D44" s="29"/>
      <c r="E44" s="28"/>
      <c r="F44" s="29"/>
      <c r="G44" s="30"/>
      <c r="H44" s="29"/>
      <c r="I44" s="30"/>
      <c r="J44" s="29"/>
      <c r="K44" s="30"/>
      <c r="L44" s="29"/>
      <c r="M44" s="30"/>
      <c r="N44" s="29"/>
      <c r="O44" s="30"/>
      <c r="P44" s="29"/>
      <c r="Q44" s="22"/>
    </row>
    <row r="45" spans="2:21" s="23" customFormat="1" ht="17.5" customHeight="1" x14ac:dyDescent="0.35">
      <c r="B45" s="48"/>
      <c r="C45" s="28"/>
      <c r="D45" s="29"/>
      <c r="E45" s="28"/>
      <c r="F45" s="29"/>
      <c r="G45" s="30"/>
      <c r="H45" s="29"/>
      <c r="I45" s="30"/>
      <c r="J45" s="29"/>
      <c r="K45" s="30"/>
      <c r="L45" s="29"/>
      <c r="M45" s="30"/>
      <c r="N45" s="29"/>
      <c r="O45" s="30"/>
      <c r="P45" s="29"/>
      <c r="Q45" s="22"/>
    </row>
    <row r="46" spans="2:21" s="23" customFormat="1" ht="17.5" customHeight="1" x14ac:dyDescent="0.35">
      <c r="B46" s="49"/>
      <c r="C46" s="31" t="s">
        <v>5</v>
      </c>
      <c r="D46" s="32"/>
      <c r="E46" s="31" t="s">
        <v>5</v>
      </c>
      <c r="F46" s="32"/>
      <c r="G46" s="33" t="s">
        <v>5</v>
      </c>
      <c r="H46" s="32"/>
      <c r="I46" s="33" t="s">
        <v>5</v>
      </c>
      <c r="J46" s="32"/>
      <c r="K46" s="33" t="s">
        <v>5</v>
      </c>
      <c r="L46" s="32"/>
      <c r="M46" s="33" t="s">
        <v>5</v>
      </c>
      <c r="N46" s="32"/>
      <c r="O46" s="33" t="s">
        <v>5</v>
      </c>
      <c r="P46" s="32"/>
      <c r="Q46" s="22"/>
    </row>
    <row r="47" spans="2:21" s="51" customFormat="1" ht="18" customHeight="1" x14ac:dyDescent="0.3">
      <c r="B47" s="52"/>
      <c r="C47" s="55">
        <f>IF(DAY(JanSun1)=1,IF(AND(YEAR(JanSun1+15)=CalendarYear,MONTH(JanSun1+15)=1),JanSun1+15,""),IF(AND(YEAR(JanSun1+22)=CalendarYear,MONTH(JanSun1+22)=1),JanSun1+22,""))</f>
        <v>44214</v>
      </c>
      <c r="D47" s="61" t="s">
        <v>29</v>
      </c>
      <c r="E47" s="55">
        <f>IF(DAY(JanSun1)=1,IF(AND(YEAR(JanSun1+16)=CalendarYear,MONTH(JanSun1+16)=1),JanSun1+16,""),IF(AND(YEAR(JanSun1+23)=CalendarYear,MONTH(JanSun1+23)=1),JanSun1+23,""))</f>
        <v>44215</v>
      </c>
      <c r="F47" s="61" t="s">
        <v>29</v>
      </c>
      <c r="G47" s="56">
        <f>IF(DAY(JanSun1)=1,IF(AND(YEAR(JanSun1+17)=CalendarYear,MONTH(JanSun1+17)=1),JanSun1+17,""),IF(AND(YEAR(JanSun1+24)=CalendarYear,MONTH(JanSun1+24)=1),JanSun1+24,""))</f>
        <v>44216</v>
      </c>
      <c r="H47" s="61" t="s">
        <v>29</v>
      </c>
      <c r="I47" s="56">
        <f>IF(DAY(JanSun1)=1,IF(AND(YEAR(JanSun1+18)=CalendarYear,MONTH(JanSun1+18)=1),JanSun1+18,""),IF(AND(YEAR(JanSun1+25)=CalendarYear,MONTH(JanSun1+25)=1),JanSun1+25,""))</f>
        <v>44217</v>
      </c>
      <c r="J47" s="61" t="s">
        <v>29</v>
      </c>
      <c r="K47" s="56">
        <f>IF(DAY(JanSun1)=1,IF(AND(YEAR(JanSun1+19)=CalendarYear,MONTH(JanSun1+19)=1),JanSun1+19,""),IF(AND(YEAR(JanSun1+26)=CalendarYear,MONTH(JanSun1+26)=1),JanSun1+26,""))</f>
        <v>44218</v>
      </c>
      <c r="L47" s="61" t="s">
        <v>29</v>
      </c>
      <c r="M47" s="56">
        <f>IF(DAY(JanSun1)=1,IF(AND(YEAR(JanSun1+20)=CalendarYear,MONTH(JanSun1+20)=1),JanSun1+20,""),IF(AND(YEAR(JanSun1+27)=CalendarYear,MONTH(JanSun1+27)=1),JanSun1+27,""))</f>
        <v>44219</v>
      </c>
      <c r="N47" s="61" t="s">
        <v>29</v>
      </c>
      <c r="O47" s="56">
        <f>IF(DAY(JanSun1)=1,IF(AND(YEAR(JanSun1+21)=CalendarYear,MONTH(JanSun1+21)=1),JanSun1+21,""),IF(AND(YEAR(JanSun1+28)=CalendarYear,MONTH(JanSun1+28)=1),JanSun1+28,""))</f>
        <v>44220</v>
      </c>
      <c r="P47" s="61" t="s">
        <v>29</v>
      </c>
      <c r="Q47" s="47"/>
      <c r="T47" s="53"/>
      <c r="U47" s="54"/>
    </row>
    <row r="48" spans="2:21" s="23" customFormat="1" ht="17.5" customHeight="1" x14ac:dyDescent="0.45">
      <c r="B48" s="50" t="s">
        <v>1</v>
      </c>
      <c r="C48" s="34"/>
      <c r="D48" s="35"/>
      <c r="E48" s="34"/>
      <c r="F48" s="35"/>
      <c r="G48" s="36"/>
      <c r="H48" s="35"/>
      <c r="I48" s="36"/>
      <c r="J48" s="35"/>
      <c r="K48" s="36"/>
      <c r="L48" s="35"/>
      <c r="M48" s="36"/>
      <c r="N48" s="35"/>
      <c r="O48" s="36"/>
      <c r="P48" s="35"/>
      <c r="Q48" s="22"/>
    </row>
    <row r="49" spans="2:21" s="23" customFormat="1" ht="17.5" customHeight="1" x14ac:dyDescent="0.45">
      <c r="B49" s="50" t="s">
        <v>2</v>
      </c>
      <c r="C49" s="37"/>
      <c r="D49" s="38"/>
      <c r="E49" s="37"/>
      <c r="F49" s="38"/>
      <c r="G49" s="39"/>
      <c r="H49" s="38"/>
      <c r="I49" s="39"/>
      <c r="J49" s="38"/>
      <c r="K49" s="39"/>
      <c r="L49" s="38"/>
      <c r="M49" s="39"/>
      <c r="N49" s="38"/>
      <c r="O49" s="39"/>
      <c r="P49" s="38"/>
      <c r="Q49" s="22"/>
    </row>
    <row r="50" spans="2:21" s="23" customFormat="1" ht="17.5" customHeight="1" x14ac:dyDescent="0.45">
      <c r="B50" s="50" t="s">
        <v>3</v>
      </c>
      <c r="C50" s="37"/>
      <c r="D50" s="38"/>
      <c r="E50" s="37"/>
      <c r="F50" s="38"/>
      <c r="G50" s="39"/>
      <c r="H50" s="38"/>
      <c r="I50" s="39"/>
      <c r="J50" s="38"/>
      <c r="K50" s="39"/>
      <c r="L50" s="38"/>
      <c r="M50" s="39"/>
      <c r="N50" s="38"/>
      <c r="O50" s="39"/>
      <c r="P50" s="38"/>
      <c r="Q50" s="22"/>
    </row>
    <row r="51" spans="2:21" s="23" customFormat="1" ht="17.5" customHeight="1" x14ac:dyDescent="0.45">
      <c r="B51" s="50" t="s">
        <v>4</v>
      </c>
      <c r="C51" s="37"/>
      <c r="D51" s="38"/>
      <c r="E51" s="37"/>
      <c r="F51" s="38"/>
      <c r="G51" s="39"/>
      <c r="H51" s="38"/>
      <c r="I51" s="39"/>
      <c r="J51" s="38"/>
      <c r="K51" s="39"/>
      <c r="L51" s="38"/>
      <c r="M51" s="39"/>
      <c r="N51" s="38"/>
      <c r="O51" s="39"/>
      <c r="P51" s="38"/>
      <c r="Q51" s="22"/>
    </row>
    <row r="52" spans="2:21" s="23" customFormat="1" ht="17.5" customHeight="1" x14ac:dyDescent="0.45">
      <c r="B52" s="50" t="s">
        <v>2</v>
      </c>
      <c r="C52" s="37"/>
      <c r="D52" s="38"/>
      <c r="E52" s="37"/>
      <c r="F52" s="38"/>
      <c r="G52" s="39"/>
      <c r="H52" s="38"/>
      <c r="I52" s="39"/>
      <c r="J52" s="38"/>
      <c r="K52" s="39"/>
      <c r="L52" s="38"/>
      <c r="M52" s="39"/>
      <c r="N52" s="38"/>
      <c r="O52" s="39"/>
      <c r="P52" s="38"/>
      <c r="Q52" s="22"/>
    </row>
    <row r="53" spans="2:21" s="23" customFormat="1" ht="17.5" customHeight="1" x14ac:dyDescent="0.45">
      <c r="B53" s="50"/>
      <c r="C53" s="37"/>
      <c r="D53" s="38"/>
      <c r="E53" s="37"/>
      <c r="F53" s="38"/>
      <c r="G53" s="39"/>
      <c r="H53" s="38"/>
      <c r="I53" s="39"/>
      <c r="J53" s="38"/>
      <c r="K53" s="39"/>
      <c r="L53" s="38"/>
      <c r="M53" s="39"/>
      <c r="N53" s="38"/>
      <c r="O53" s="39"/>
      <c r="P53" s="38"/>
      <c r="Q53" s="22"/>
    </row>
    <row r="54" spans="2:21" s="23" customFormat="1" ht="17.5" customHeight="1" x14ac:dyDescent="0.45">
      <c r="B54" s="50" t="s">
        <v>6</v>
      </c>
      <c r="C54" s="37"/>
      <c r="D54" s="38"/>
      <c r="E54" s="37"/>
      <c r="F54" s="38"/>
      <c r="G54" s="39"/>
      <c r="H54" s="38"/>
      <c r="I54" s="39"/>
      <c r="J54" s="38"/>
      <c r="K54" s="39"/>
      <c r="L54" s="38"/>
      <c r="M54" s="39"/>
      <c r="N54" s="38"/>
      <c r="O54" s="39"/>
      <c r="P54" s="38"/>
      <c r="Q54" s="22"/>
    </row>
    <row r="55" spans="2:21" s="23" customFormat="1" ht="17.5" customHeight="1" x14ac:dyDescent="0.35">
      <c r="B55" s="48"/>
      <c r="C55" s="37"/>
      <c r="D55" s="38"/>
      <c r="E55" s="37"/>
      <c r="F55" s="38"/>
      <c r="G55" s="39"/>
      <c r="H55" s="38"/>
      <c r="I55" s="39"/>
      <c r="J55" s="38"/>
      <c r="K55" s="39"/>
      <c r="L55" s="38"/>
      <c r="M55" s="39"/>
      <c r="N55" s="38"/>
      <c r="O55" s="39"/>
      <c r="P55" s="38"/>
      <c r="Q55" s="22"/>
    </row>
    <row r="56" spans="2:21" s="23" customFormat="1" ht="17.5" customHeight="1" x14ac:dyDescent="0.35">
      <c r="B56" s="48"/>
      <c r="C56" s="37"/>
      <c r="D56" s="38"/>
      <c r="E56" s="37"/>
      <c r="F56" s="38"/>
      <c r="G56" s="39"/>
      <c r="H56" s="38"/>
      <c r="I56" s="39"/>
      <c r="J56" s="38"/>
      <c r="K56" s="39"/>
      <c r="L56" s="38"/>
      <c r="M56" s="39"/>
      <c r="N56" s="38"/>
      <c r="O56" s="39"/>
      <c r="P56" s="38"/>
      <c r="Q56" s="22"/>
    </row>
    <row r="57" spans="2:21" s="23" customFormat="1" ht="17.5" customHeight="1" x14ac:dyDescent="0.35">
      <c r="B57" s="48"/>
      <c r="C57" s="37"/>
      <c r="D57" s="38"/>
      <c r="E57" s="37"/>
      <c r="F57" s="38"/>
      <c r="G57" s="39"/>
      <c r="H57" s="38"/>
      <c r="I57" s="39"/>
      <c r="J57" s="38"/>
      <c r="K57" s="39"/>
      <c r="L57" s="38"/>
      <c r="M57" s="39"/>
      <c r="N57" s="38"/>
      <c r="O57" s="39"/>
      <c r="P57" s="38"/>
      <c r="Q57" s="22"/>
    </row>
    <row r="58" spans="2:21" s="23" customFormat="1" ht="17.5" customHeight="1" x14ac:dyDescent="0.35">
      <c r="B58" s="48"/>
      <c r="C58" s="37"/>
      <c r="D58" s="38"/>
      <c r="E58" s="37"/>
      <c r="F58" s="38"/>
      <c r="G58" s="39"/>
      <c r="H58" s="38"/>
      <c r="I58" s="39"/>
      <c r="J58" s="38"/>
      <c r="K58" s="39"/>
      <c r="L58" s="38"/>
      <c r="M58" s="39"/>
      <c r="N58" s="38"/>
      <c r="O58" s="39"/>
      <c r="P58" s="38"/>
      <c r="Q58" s="22"/>
    </row>
    <row r="59" spans="2:21" s="23" customFormat="1" ht="17.5" customHeight="1" x14ac:dyDescent="0.35">
      <c r="B59" s="49"/>
      <c r="C59" s="40" t="s">
        <v>5</v>
      </c>
      <c r="D59" s="41"/>
      <c r="E59" s="40" t="s">
        <v>5</v>
      </c>
      <c r="F59" s="41"/>
      <c r="G59" s="42" t="s">
        <v>5</v>
      </c>
      <c r="H59" s="41"/>
      <c r="I59" s="42" t="s">
        <v>5</v>
      </c>
      <c r="J59" s="41"/>
      <c r="K59" s="42" t="s">
        <v>5</v>
      </c>
      <c r="L59" s="41"/>
      <c r="M59" s="42" t="s">
        <v>5</v>
      </c>
      <c r="N59" s="41"/>
      <c r="O59" s="42" t="s">
        <v>5</v>
      </c>
      <c r="P59" s="41"/>
      <c r="Q59" s="22"/>
    </row>
    <row r="60" spans="2:21" s="51" customFormat="1" ht="18" customHeight="1" x14ac:dyDescent="0.3">
      <c r="B60" s="52"/>
      <c r="C60" s="55">
        <f>IF(DAY(JanSun1)=1,IF(AND(YEAR(JanSun1+22)=CalendarYear,MONTH(JanSun1+22)=1),JanSun1+22,""),IF(AND(YEAR(JanSun1+29)=CalendarYear,MONTH(JanSun1+29)=1),JanSun1+29,""))</f>
        <v>44221</v>
      </c>
      <c r="D60" s="61" t="s">
        <v>29</v>
      </c>
      <c r="E60" s="55">
        <f>IF(DAY(JanSun1)=1,IF(AND(YEAR(JanSun1+23)=CalendarYear,MONTH(JanSun1+23)=1),JanSun1+23,""),IF(AND(YEAR(JanSun1+30)=CalendarYear,MONTH(JanSun1+30)=1),JanSun1+30,""))</f>
        <v>44222</v>
      </c>
      <c r="F60" s="61" t="s">
        <v>29</v>
      </c>
      <c r="G60" s="56">
        <f>IF(DAY(JanSun1)=1,IF(AND(YEAR(JanSun1+24)=CalendarYear,MONTH(JanSun1+24)=1),JanSun1+24,""),IF(AND(YEAR(JanSun1+31)=CalendarYear,MONTH(JanSun1+31)=1),JanSun1+31,""))</f>
        <v>44223</v>
      </c>
      <c r="H60" s="61" t="s">
        <v>29</v>
      </c>
      <c r="I60" s="56">
        <f>IF(DAY(JanSun1)=1,IF(AND(YEAR(JanSun1+25)=CalendarYear,MONTH(JanSun1+25)=1),JanSun1+25,""),IF(AND(YEAR(JanSun1+32)=CalendarYear,MONTH(JanSun1+32)=1),JanSun1+32,""))</f>
        <v>44224</v>
      </c>
      <c r="J60" s="61" t="s">
        <v>29</v>
      </c>
      <c r="K60" s="56">
        <f>IF(DAY(JanSun1)=1,IF(AND(YEAR(JanSun1+26)=CalendarYear,MONTH(JanSun1+26)=1),JanSun1+26,""),IF(AND(YEAR(JanSun1+33)=CalendarYear,MONTH(JanSun1+33)=1),JanSun1+33,""))</f>
        <v>44225</v>
      </c>
      <c r="L60" s="61" t="s">
        <v>29</v>
      </c>
      <c r="M60" s="56">
        <f>IF(DAY(JanSun1)=1,IF(AND(YEAR(JanSun1+27)=CalendarYear,MONTH(JanSun1+27)=1),JanSun1+27,""),IF(AND(YEAR(JanSun1+34)=CalendarYear,MONTH(JanSun1+34)=1),JanSun1+34,""))</f>
        <v>44226</v>
      </c>
      <c r="N60" s="61" t="s">
        <v>29</v>
      </c>
      <c r="O60" s="56">
        <f>IF(DAY(JanSun1)=1,IF(AND(YEAR(JanSun1+28)=CalendarYear,MONTH(JanSun1+28)=1),JanSun1+28,""),IF(AND(YEAR(JanSun1+35)=CalendarYear,MONTH(JanSun1+35)=1),JanSun1+35,""))</f>
        <v>44227</v>
      </c>
      <c r="P60" s="61" t="s">
        <v>29</v>
      </c>
      <c r="Q60" s="47"/>
      <c r="T60" s="53"/>
      <c r="U60" s="54"/>
    </row>
    <row r="61" spans="2:21" s="23" customFormat="1" ht="17.5" customHeight="1" x14ac:dyDescent="0.45">
      <c r="B61" s="50" t="s">
        <v>1</v>
      </c>
      <c r="C61" s="25"/>
      <c r="D61" s="26"/>
      <c r="E61" s="25"/>
      <c r="F61" s="26"/>
      <c r="G61" s="27"/>
      <c r="H61" s="26"/>
      <c r="I61" s="27"/>
      <c r="J61" s="26"/>
      <c r="K61" s="27"/>
      <c r="L61" s="26"/>
      <c r="M61" s="27"/>
      <c r="N61" s="26"/>
      <c r="O61" s="27"/>
      <c r="P61" s="26"/>
      <c r="Q61" s="22"/>
    </row>
    <row r="62" spans="2:21" s="23" customFormat="1" ht="17.5" customHeight="1" x14ac:dyDescent="0.45">
      <c r="B62" s="50" t="s">
        <v>2</v>
      </c>
      <c r="C62" s="28"/>
      <c r="D62" s="29"/>
      <c r="E62" s="28"/>
      <c r="F62" s="29"/>
      <c r="G62" s="30"/>
      <c r="H62" s="29"/>
      <c r="I62" s="30"/>
      <c r="J62" s="29"/>
      <c r="K62" s="30"/>
      <c r="L62" s="29"/>
      <c r="M62" s="30"/>
      <c r="N62" s="29"/>
      <c r="O62" s="30"/>
      <c r="P62" s="29"/>
      <c r="Q62" s="22"/>
    </row>
    <row r="63" spans="2:21" s="23" customFormat="1" ht="17.5" customHeight="1" x14ac:dyDescent="0.45">
      <c r="B63" s="50" t="s">
        <v>3</v>
      </c>
      <c r="C63" s="28"/>
      <c r="D63" s="29"/>
      <c r="E63" s="28"/>
      <c r="F63" s="29"/>
      <c r="G63" s="30"/>
      <c r="H63" s="29"/>
      <c r="I63" s="30"/>
      <c r="J63" s="29"/>
      <c r="K63" s="30"/>
      <c r="L63" s="29"/>
      <c r="M63" s="30"/>
      <c r="N63" s="29"/>
      <c r="O63" s="30"/>
      <c r="P63" s="29"/>
      <c r="Q63" s="22"/>
    </row>
    <row r="64" spans="2:21" s="23" customFormat="1" ht="17.5" customHeight="1" x14ac:dyDescent="0.45">
      <c r="B64" s="50" t="s">
        <v>4</v>
      </c>
      <c r="C64" s="28"/>
      <c r="D64" s="29"/>
      <c r="E64" s="28"/>
      <c r="F64" s="29"/>
      <c r="G64" s="30"/>
      <c r="H64" s="29"/>
      <c r="I64" s="30"/>
      <c r="J64" s="29"/>
      <c r="K64" s="30"/>
      <c r="L64" s="29"/>
      <c r="M64" s="30"/>
      <c r="N64" s="29"/>
      <c r="O64" s="30"/>
      <c r="P64" s="29"/>
      <c r="Q64" s="22"/>
    </row>
    <row r="65" spans="1:21" s="23" customFormat="1" ht="17.5" customHeight="1" x14ac:dyDescent="0.45">
      <c r="B65" s="50" t="s">
        <v>2</v>
      </c>
      <c r="C65" s="28"/>
      <c r="D65" s="29"/>
      <c r="E65" s="28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22"/>
    </row>
    <row r="66" spans="1:21" s="23" customFormat="1" ht="17.5" customHeight="1" x14ac:dyDescent="0.45">
      <c r="B66" s="50"/>
      <c r="C66" s="28"/>
      <c r="D66" s="29"/>
      <c r="E66" s="28"/>
      <c r="F66" s="29"/>
      <c r="G66" s="30"/>
      <c r="H66" s="29"/>
      <c r="I66" s="30"/>
      <c r="J66" s="29"/>
      <c r="K66" s="30"/>
      <c r="L66" s="29"/>
      <c r="M66" s="30"/>
      <c r="N66" s="29"/>
      <c r="O66" s="30"/>
      <c r="P66" s="29"/>
      <c r="Q66" s="22"/>
    </row>
    <row r="67" spans="1:21" s="23" customFormat="1" ht="17.5" customHeight="1" x14ac:dyDescent="0.45">
      <c r="B67" s="50" t="s">
        <v>6</v>
      </c>
      <c r="C67" s="28"/>
      <c r="D67" s="29"/>
      <c r="E67" s="28"/>
      <c r="F67" s="29"/>
      <c r="G67" s="30"/>
      <c r="H67" s="29"/>
      <c r="I67" s="30"/>
      <c r="J67" s="29"/>
      <c r="K67" s="30"/>
      <c r="L67" s="29"/>
      <c r="M67" s="30"/>
      <c r="N67" s="29"/>
      <c r="O67" s="30"/>
      <c r="P67" s="29"/>
      <c r="Q67" s="22"/>
    </row>
    <row r="68" spans="1:21" s="23" customFormat="1" ht="17.5" customHeight="1" x14ac:dyDescent="0.35">
      <c r="B68" s="48"/>
      <c r="C68" s="28"/>
      <c r="D68" s="29"/>
      <c r="E68" s="28"/>
      <c r="F68" s="29"/>
      <c r="G68" s="30"/>
      <c r="H68" s="29"/>
      <c r="I68" s="30"/>
      <c r="J68" s="29"/>
      <c r="K68" s="30"/>
      <c r="L68" s="29"/>
      <c r="M68" s="30"/>
      <c r="N68" s="29"/>
      <c r="O68" s="30"/>
      <c r="P68" s="29"/>
      <c r="Q68" s="22"/>
    </row>
    <row r="69" spans="1:21" s="23" customFormat="1" ht="17.5" customHeight="1" x14ac:dyDescent="0.35">
      <c r="B69" s="48"/>
      <c r="C69" s="28"/>
      <c r="D69" s="29"/>
      <c r="E69" s="28"/>
      <c r="F69" s="29"/>
      <c r="G69" s="30"/>
      <c r="H69" s="29"/>
      <c r="I69" s="30"/>
      <c r="J69" s="29"/>
      <c r="K69" s="30"/>
      <c r="L69" s="29"/>
      <c r="M69" s="30"/>
      <c r="N69" s="29"/>
      <c r="O69" s="30"/>
      <c r="P69" s="29"/>
      <c r="Q69" s="22"/>
    </row>
    <row r="70" spans="1:21" s="23" customFormat="1" ht="17.5" customHeight="1" x14ac:dyDescent="0.35">
      <c r="B70" s="48"/>
      <c r="C70" s="28"/>
      <c r="D70" s="29"/>
      <c r="E70" s="28"/>
      <c r="F70" s="29"/>
      <c r="G70" s="30"/>
      <c r="H70" s="29"/>
      <c r="I70" s="30"/>
      <c r="J70" s="29"/>
      <c r="K70" s="30"/>
      <c r="L70" s="29"/>
      <c r="M70" s="30"/>
      <c r="N70" s="29"/>
      <c r="O70" s="30"/>
      <c r="P70" s="29"/>
      <c r="Q70" s="22"/>
    </row>
    <row r="71" spans="1:21" s="23" customFormat="1" ht="17.5" customHeight="1" x14ac:dyDescent="0.35">
      <c r="B71" s="48"/>
      <c r="C71" s="28"/>
      <c r="D71" s="29"/>
      <c r="E71" s="28"/>
      <c r="F71" s="29"/>
      <c r="G71" s="30"/>
      <c r="H71" s="29"/>
      <c r="I71" s="30"/>
      <c r="J71" s="29"/>
      <c r="K71" s="30"/>
      <c r="L71" s="29"/>
      <c r="M71" s="30"/>
      <c r="N71" s="29"/>
      <c r="O71" s="30"/>
      <c r="P71" s="29"/>
      <c r="Q71" s="22"/>
    </row>
    <row r="72" spans="1:21" s="23" customFormat="1" ht="17.5" customHeight="1" x14ac:dyDescent="0.35">
      <c r="B72" s="49"/>
      <c r="C72" s="31" t="s">
        <v>5</v>
      </c>
      <c r="D72" s="32"/>
      <c r="E72" s="31" t="s">
        <v>5</v>
      </c>
      <c r="F72" s="32"/>
      <c r="G72" s="33" t="s">
        <v>5</v>
      </c>
      <c r="H72" s="32"/>
      <c r="I72" s="33" t="s">
        <v>5</v>
      </c>
      <c r="J72" s="32"/>
      <c r="K72" s="33" t="s">
        <v>5</v>
      </c>
      <c r="L72" s="32"/>
      <c r="M72" s="33" t="s">
        <v>5</v>
      </c>
      <c r="N72" s="32"/>
      <c r="O72" s="33" t="s">
        <v>5</v>
      </c>
      <c r="P72" s="32"/>
      <c r="Q72" s="22"/>
    </row>
    <row r="73" spans="1:21" s="21" customFormat="1" ht="18" customHeight="1" x14ac:dyDescent="0.3">
      <c r="A73" s="51"/>
      <c r="B73" s="52"/>
      <c r="C73" s="55" t="str">
        <f>IF(DAY(JanSun1)=1,IF(AND(YEAR(JanSun1+29)=CalendarYear,MONTH(JanSun1+29)=1),JanSun1+29,""),IF(AND(YEAR(JanSun1+36)=CalendarYear,MONTH(JanSun1+36)=1),JanSun1+36,""))</f>
        <v/>
      </c>
      <c r="D73" s="61" t="s">
        <v>29</v>
      </c>
      <c r="E73" s="55" t="str">
        <f>IF(DAY(JanSun1)=1,IF(AND(YEAR(JanSun1+30)=CalendarYear,MONTH(JanSun1+30)=1),JanSun1+30,""),IF(AND(YEAR(JanSun1+37)=CalendarYear,MONTH(JanSun1+37)=1),JanSun1+37,""))</f>
        <v/>
      </c>
      <c r="F73" s="61" t="s">
        <v>29</v>
      </c>
      <c r="G73" s="56" t="s">
        <v>14</v>
      </c>
      <c r="H73" s="57"/>
      <c r="I73" s="58"/>
      <c r="J73" s="57"/>
      <c r="K73" s="58"/>
      <c r="L73" s="57"/>
      <c r="M73" s="58"/>
      <c r="N73" s="57"/>
      <c r="O73" s="58"/>
      <c r="P73" s="57"/>
      <c r="Q73" s="22"/>
      <c r="T73" s="23"/>
      <c r="U73" s="24"/>
    </row>
    <row r="74" spans="1:21" s="23" customFormat="1" ht="17.5" customHeight="1" x14ac:dyDescent="0.45">
      <c r="B74" s="50" t="s">
        <v>1</v>
      </c>
      <c r="C74" s="34"/>
      <c r="D74" s="35"/>
      <c r="E74" s="34"/>
      <c r="F74" s="35"/>
      <c r="G74" s="163"/>
      <c r="H74" s="164"/>
      <c r="I74" s="164"/>
      <c r="J74" s="164"/>
      <c r="K74" s="164"/>
      <c r="L74" s="164"/>
      <c r="M74" s="164"/>
      <c r="N74" s="164"/>
      <c r="O74" s="164"/>
      <c r="P74" s="165"/>
      <c r="Q74" s="22"/>
    </row>
    <row r="75" spans="1:21" s="23" customFormat="1" ht="17.5" customHeight="1" x14ac:dyDescent="0.45">
      <c r="B75" s="50" t="s">
        <v>2</v>
      </c>
      <c r="C75" s="37"/>
      <c r="D75" s="38"/>
      <c r="E75" s="37"/>
      <c r="F75" s="38"/>
      <c r="G75" s="166"/>
      <c r="H75" s="167"/>
      <c r="I75" s="167"/>
      <c r="J75" s="167"/>
      <c r="K75" s="167"/>
      <c r="L75" s="167"/>
      <c r="M75" s="167"/>
      <c r="N75" s="167"/>
      <c r="O75" s="167"/>
      <c r="P75" s="168"/>
      <c r="Q75" s="22"/>
    </row>
    <row r="76" spans="1:21" s="23" customFormat="1" ht="17.5" customHeight="1" x14ac:dyDescent="0.45">
      <c r="B76" s="50" t="s">
        <v>3</v>
      </c>
      <c r="C76" s="37"/>
      <c r="D76" s="38"/>
      <c r="E76" s="37"/>
      <c r="F76" s="38"/>
      <c r="G76" s="166"/>
      <c r="H76" s="167"/>
      <c r="I76" s="167"/>
      <c r="J76" s="167"/>
      <c r="K76" s="167"/>
      <c r="L76" s="167"/>
      <c r="M76" s="167"/>
      <c r="N76" s="167"/>
      <c r="O76" s="167"/>
      <c r="P76" s="168"/>
      <c r="Q76" s="22"/>
    </row>
    <row r="77" spans="1:21" s="23" customFormat="1" ht="17.5" customHeight="1" x14ac:dyDescent="0.45">
      <c r="B77" s="50" t="s">
        <v>4</v>
      </c>
      <c r="C77" s="37"/>
      <c r="D77" s="38"/>
      <c r="E77" s="37"/>
      <c r="F77" s="38"/>
      <c r="G77" s="166"/>
      <c r="H77" s="167"/>
      <c r="I77" s="167"/>
      <c r="J77" s="167"/>
      <c r="K77" s="167"/>
      <c r="L77" s="167"/>
      <c r="M77" s="167"/>
      <c r="N77" s="167"/>
      <c r="O77" s="167"/>
      <c r="P77" s="168"/>
      <c r="Q77" s="22"/>
    </row>
    <row r="78" spans="1:21" s="23" customFormat="1" ht="17.5" customHeight="1" x14ac:dyDescent="0.45">
      <c r="B78" s="50" t="s">
        <v>2</v>
      </c>
      <c r="C78" s="37"/>
      <c r="D78" s="38"/>
      <c r="E78" s="37"/>
      <c r="F78" s="38"/>
      <c r="G78" s="166"/>
      <c r="H78" s="167"/>
      <c r="I78" s="167"/>
      <c r="J78" s="167"/>
      <c r="K78" s="167"/>
      <c r="L78" s="167"/>
      <c r="M78" s="167"/>
      <c r="N78" s="167"/>
      <c r="O78" s="167"/>
      <c r="P78" s="168"/>
      <c r="Q78" s="22"/>
    </row>
    <row r="79" spans="1:21" s="23" customFormat="1" ht="17.5" customHeight="1" x14ac:dyDescent="0.45">
      <c r="B79" s="50"/>
      <c r="C79" s="37"/>
      <c r="D79" s="38"/>
      <c r="E79" s="37"/>
      <c r="F79" s="38"/>
      <c r="G79" s="166"/>
      <c r="H79" s="167"/>
      <c r="I79" s="167"/>
      <c r="J79" s="167"/>
      <c r="K79" s="167"/>
      <c r="L79" s="167"/>
      <c r="M79" s="167"/>
      <c r="N79" s="167"/>
      <c r="O79" s="167"/>
      <c r="P79" s="168"/>
      <c r="Q79" s="22"/>
    </row>
    <row r="80" spans="1:21" s="23" customFormat="1" ht="17.5" customHeight="1" x14ac:dyDescent="0.45">
      <c r="B80" s="50" t="s">
        <v>6</v>
      </c>
      <c r="C80" s="37"/>
      <c r="D80" s="38"/>
      <c r="E80" s="37"/>
      <c r="F80" s="38"/>
      <c r="G80" s="166"/>
      <c r="H80" s="167"/>
      <c r="I80" s="167"/>
      <c r="J80" s="167"/>
      <c r="K80" s="167"/>
      <c r="L80" s="167"/>
      <c r="M80" s="167"/>
      <c r="N80" s="167"/>
      <c r="O80" s="167"/>
      <c r="P80" s="168"/>
      <c r="Q80" s="22"/>
    </row>
    <row r="81" spans="1:17" s="23" customFormat="1" ht="17.5" customHeight="1" x14ac:dyDescent="0.35">
      <c r="B81" s="48"/>
      <c r="C81" s="37"/>
      <c r="D81" s="38"/>
      <c r="E81" s="37"/>
      <c r="F81" s="38"/>
      <c r="G81" s="166"/>
      <c r="H81" s="167"/>
      <c r="I81" s="167"/>
      <c r="J81" s="167"/>
      <c r="K81" s="167"/>
      <c r="L81" s="167"/>
      <c r="M81" s="167"/>
      <c r="N81" s="167"/>
      <c r="O81" s="167"/>
      <c r="P81" s="168"/>
      <c r="Q81" s="22"/>
    </row>
    <row r="82" spans="1:17" s="23" customFormat="1" ht="17.5" customHeight="1" x14ac:dyDescent="0.35">
      <c r="B82" s="48"/>
      <c r="C82" s="37"/>
      <c r="D82" s="38"/>
      <c r="E82" s="37"/>
      <c r="F82" s="38"/>
      <c r="G82" s="166"/>
      <c r="H82" s="167"/>
      <c r="I82" s="167"/>
      <c r="J82" s="167"/>
      <c r="K82" s="167"/>
      <c r="L82" s="167"/>
      <c r="M82" s="167"/>
      <c r="N82" s="167"/>
      <c r="O82" s="167"/>
      <c r="P82" s="168"/>
      <c r="Q82" s="22"/>
    </row>
    <row r="83" spans="1:17" s="23" customFormat="1" ht="17.5" customHeight="1" x14ac:dyDescent="0.35">
      <c r="B83" s="48"/>
      <c r="C83" s="37"/>
      <c r="D83" s="38"/>
      <c r="E83" s="37"/>
      <c r="F83" s="38"/>
      <c r="G83" s="166"/>
      <c r="H83" s="167"/>
      <c r="I83" s="167"/>
      <c r="J83" s="167"/>
      <c r="K83" s="167"/>
      <c r="L83" s="167"/>
      <c r="M83" s="167"/>
      <c r="N83" s="167"/>
      <c r="O83" s="167"/>
      <c r="P83" s="168"/>
      <c r="Q83" s="22"/>
    </row>
    <row r="84" spans="1:17" s="23" customFormat="1" ht="17.5" customHeight="1" x14ac:dyDescent="0.35">
      <c r="B84" s="48"/>
      <c r="C84" s="37"/>
      <c r="D84" s="38"/>
      <c r="E84" s="37"/>
      <c r="F84" s="38"/>
      <c r="G84" s="166"/>
      <c r="H84" s="167"/>
      <c r="I84" s="167"/>
      <c r="J84" s="167"/>
      <c r="K84" s="167"/>
      <c r="L84" s="167"/>
      <c r="M84" s="167"/>
      <c r="N84" s="167"/>
      <c r="O84" s="167"/>
      <c r="P84" s="168"/>
      <c r="Q84" s="22"/>
    </row>
    <row r="85" spans="1:17" s="23" customFormat="1" ht="17.5" customHeight="1" x14ac:dyDescent="0.35">
      <c r="B85" s="49"/>
      <c r="C85" s="40" t="s">
        <v>5</v>
      </c>
      <c r="D85" s="41"/>
      <c r="E85" s="40" t="s">
        <v>5</v>
      </c>
      <c r="F85" s="41"/>
      <c r="G85" s="169"/>
      <c r="H85" s="170"/>
      <c r="I85" s="170"/>
      <c r="J85" s="170"/>
      <c r="K85" s="170"/>
      <c r="L85" s="170"/>
      <c r="M85" s="170"/>
      <c r="N85" s="170"/>
      <c r="O85" s="170"/>
      <c r="P85" s="171"/>
      <c r="Q85" s="22"/>
    </row>
    <row r="86" spans="1:17" ht="22.75" customHeight="1" x14ac:dyDescent="0.3">
      <c r="B86" s="159" t="s">
        <v>27</v>
      </c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</row>
    <row r="87" spans="1:17" ht="22.75" customHeight="1" x14ac:dyDescent="0.3">
      <c r="A87" s="2"/>
      <c r="B87" s="158" t="s">
        <v>28</v>
      </c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</row>
    <row r="88" spans="1:17" x14ac:dyDescent="0.3">
      <c r="A88" s="2"/>
    </row>
    <row r="89" spans="1:17" x14ac:dyDescent="0.3">
      <c r="A89" s="2"/>
    </row>
    <row r="90" spans="1:17" ht="21" customHeight="1" x14ac:dyDescent="0.3">
      <c r="A90" s="2"/>
      <c r="E90" s="5"/>
      <c r="F90" s="17"/>
      <c r="G90" s="4"/>
      <c r="H90" s="18"/>
      <c r="I90" s="3"/>
      <c r="J90" s="19"/>
    </row>
    <row r="91" spans="1:17" ht="19.5" customHeight="1" x14ac:dyDescent="0.3">
      <c r="A91" s="2"/>
    </row>
    <row r="92" spans="1:17" ht="15" x14ac:dyDescent="0.3">
      <c r="A92"/>
    </row>
    <row r="93" spans="1:17" x14ac:dyDescent="0.3">
      <c r="A93" s="2"/>
    </row>
    <row r="94" spans="1:17" x14ac:dyDescent="0.3">
      <c r="A94" s="2"/>
    </row>
    <row r="95" spans="1:17" x14ac:dyDescent="0.3">
      <c r="A95" s="2"/>
    </row>
    <row r="96" spans="1:17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ht="15" x14ac:dyDescent="0.3">
      <c r="A105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ht="15" x14ac:dyDescent="0.3">
      <c r="A118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ht="15" x14ac:dyDescent="0.3">
      <c r="A131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4" spans="1:1" ht="15" x14ac:dyDescent="0.3">
      <c r="A144"/>
    </row>
    <row r="145" spans="1:1" x14ac:dyDescent="0.3">
      <c r="A145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x14ac:dyDescent="0.3">
      <c r="A150" s="2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ht="15" x14ac:dyDescent="0.3">
      <c r="A163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x14ac:dyDescent="0.3">
      <c r="A174" s="2"/>
    </row>
    <row r="175" spans="1:1" x14ac:dyDescent="0.3">
      <c r="A175" s="2"/>
    </row>
    <row r="176" spans="1:1" ht="15" x14ac:dyDescent="0.3">
      <c r="A176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ht="15" x14ac:dyDescent="0.3">
      <c r="A189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ht="15" x14ac:dyDescent="0.3">
      <c r="A20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x14ac:dyDescent="0.3">
      <c r="A213" s="2"/>
    </row>
    <row r="214" spans="1:1" x14ac:dyDescent="0.3">
      <c r="A214" s="2"/>
    </row>
    <row r="215" spans="1:1" ht="15" x14ac:dyDescent="0.3">
      <c r="A215"/>
    </row>
    <row r="216" spans="1:1" x14ac:dyDescent="0.3">
      <c r="A216" s="2"/>
    </row>
    <row r="217" spans="1:1" x14ac:dyDescent="0.3">
      <c r="A217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x14ac:dyDescent="0.3">
      <c r="A225" s="2"/>
    </row>
    <row r="226" spans="1:1" x14ac:dyDescent="0.3">
      <c r="A226" s="2"/>
    </row>
    <row r="227" spans="1:1" x14ac:dyDescent="0.3">
      <c r="A227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ht="15" x14ac:dyDescent="0.3">
      <c r="A238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ht="15" x14ac:dyDescent="0.3">
      <c r="A251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ht="15" x14ac:dyDescent="0.3">
      <c r="A264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  <row r="269" spans="1:1" x14ac:dyDescent="0.3">
      <c r="A269" s="2"/>
    </row>
    <row r="270" spans="1:1" x14ac:dyDescent="0.3">
      <c r="A270" s="2"/>
    </row>
    <row r="271" spans="1:1" x14ac:dyDescent="0.3">
      <c r="A271" s="2"/>
    </row>
    <row r="272" spans="1:1" x14ac:dyDescent="0.3">
      <c r="A272" s="2"/>
    </row>
    <row r="273" spans="1:1" x14ac:dyDescent="0.3">
      <c r="A273" s="2"/>
    </row>
    <row r="274" spans="1:1" x14ac:dyDescent="0.3">
      <c r="A274" s="2"/>
    </row>
    <row r="275" spans="1:1" x14ac:dyDescent="0.3">
      <c r="A275" s="2"/>
    </row>
    <row r="276" spans="1:1" x14ac:dyDescent="0.3">
      <c r="A276" s="2"/>
    </row>
    <row r="277" spans="1:1" ht="15" x14ac:dyDescent="0.3">
      <c r="A277"/>
    </row>
    <row r="278" spans="1:1" x14ac:dyDescent="0.3">
      <c r="A278" s="2"/>
    </row>
    <row r="279" spans="1:1" x14ac:dyDescent="0.3">
      <c r="A279" s="2"/>
    </row>
    <row r="280" spans="1:1" x14ac:dyDescent="0.3">
      <c r="A280" s="2"/>
    </row>
    <row r="281" spans="1:1" x14ac:dyDescent="0.3">
      <c r="A281" s="2"/>
    </row>
    <row r="282" spans="1:1" x14ac:dyDescent="0.3">
      <c r="A282" s="2"/>
    </row>
    <row r="283" spans="1:1" x14ac:dyDescent="0.3">
      <c r="A283" s="2"/>
    </row>
    <row r="284" spans="1:1" x14ac:dyDescent="0.3">
      <c r="A284" s="2"/>
    </row>
    <row r="285" spans="1:1" x14ac:dyDescent="0.3">
      <c r="A285" s="2"/>
    </row>
    <row r="286" spans="1:1" x14ac:dyDescent="0.3">
      <c r="A286" s="2"/>
    </row>
    <row r="287" spans="1:1" x14ac:dyDescent="0.3">
      <c r="A287" s="2"/>
    </row>
    <row r="288" spans="1:1" x14ac:dyDescent="0.3">
      <c r="A288" s="2"/>
    </row>
    <row r="289" spans="1:1" x14ac:dyDescent="0.3">
      <c r="A289" s="2"/>
    </row>
    <row r="290" spans="1:1" ht="15" x14ac:dyDescent="0.3">
      <c r="A290"/>
    </row>
    <row r="291" spans="1:1" x14ac:dyDescent="0.3">
      <c r="A291" s="2"/>
    </row>
    <row r="292" spans="1:1" x14ac:dyDescent="0.3">
      <c r="A292" s="2"/>
    </row>
    <row r="293" spans="1:1" x14ac:dyDescent="0.3">
      <c r="A293" s="2"/>
    </row>
    <row r="294" spans="1:1" x14ac:dyDescent="0.3">
      <c r="A294" s="2"/>
    </row>
    <row r="295" spans="1:1" x14ac:dyDescent="0.3">
      <c r="A295" s="2"/>
    </row>
    <row r="296" spans="1:1" x14ac:dyDescent="0.3">
      <c r="A296" s="2"/>
    </row>
    <row r="297" spans="1:1" x14ac:dyDescent="0.3">
      <c r="A297" s="2"/>
    </row>
    <row r="298" spans="1:1" x14ac:dyDescent="0.3">
      <c r="A298" s="2"/>
    </row>
    <row r="299" spans="1:1" x14ac:dyDescent="0.3">
      <c r="A299" s="2"/>
    </row>
    <row r="300" spans="1:1" x14ac:dyDescent="0.3">
      <c r="A300" s="2"/>
    </row>
    <row r="301" spans="1:1" x14ac:dyDescent="0.3">
      <c r="A301" s="2"/>
    </row>
    <row r="302" spans="1:1" x14ac:dyDescent="0.3">
      <c r="A302" s="2"/>
    </row>
  </sheetData>
  <mergeCells count="8">
    <mergeCell ref="B87:P87"/>
    <mergeCell ref="B86:P86"/>
    <mergeCell ref="BK4:BN5"/>
    <mergeCell ref="CB6:CC6"/>
    <mergeCell ref="R1:S4"/>
    <mergeCell ref="G74:P85"/>
    <mergeCell ref="B4:C5"/>
    <mergeCell ref="G6:H6"/>
  </mergeCells>
  <printOptions horizontalCentered="1" verticalCentered="1"/>
  <pageMargins left="0.2" right="0.2" top="0.25" bottom="0.25" header="0" footer="0"/>
  <pageSetup paperSize="8" scale="48" orientation="landscape" r:id="rId1"/>
  <headerFooter scaleWithDoc="0" alignWithMargins="0"/>
  <customProperties>
    <customPr name="SheetChanged" r:id="rId2"/>
  </customPropertie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Spinner 2">
              <controlPr defaultSize="0" autoPict="0" altText="Spinner control. Use spinner to change calendar year or type desired year in cell L2">
                <anchor moveWithCells="1">
                  <from>
                    <xdr:col>17</xdr:col>
                    <xdr:colOff>1060450</xdr:colOff>
                    <xdr:row>4</xdr:row>
                    <xdr:rowOff>88900</xdr:rowOff>
                  </from>
                  <to>
                    <xdr:col>17</xdr:col>
                    <xdr:colOff>1174750</xdr:colOff>
                    <xdr:row>4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CJ302"/>
  <sheetViews>
    <sheetView showGridLines="0" topLeftCell="A28" zoomScale="50" zoomScaleNormal="50" workbookViewId="0">
      <selection activeCell="B9" sqref="B9:B72"/>
    </sheetView>
  </sheetViews>
  <sheetFormatPr defaultColWidth="6.69140625" defaultRowHeight="14" x14ac:dyDescent="0.3"/>
  <cols>
    <col min="1" max="1" width="5.53515625" style="1" customWidth="1"/>
    <col min="2" max="2" width="18.07421875" style="1" bestFit="1" customWidth="1"/>
    <col min="3" max="3" width="24.23046875" style="1" customWidth="1"/>
    <col min="4" max="4" width="7.4609375" style="14" customWidth="1"/>
    <col min="5" max="5" width="24.23046875" style="1" customWidth="1"/>
    <col min="6" max="6" width="7.4609375" style="14" customWidth="1"/>
    <col min="7" max="7" width="30.3046875" style="1" customWidth="1"/>
    <col min="8" max="8" width="7.4609375" style="14" customWidth="1"/>
    <col min="9" max="9" width="26.84375" style="1" customWidth="1"/>
    <col min="10" max="10" width="7.4609375" style="14" customWidth="1"/>
    <col min="11" max="11" width="27.07421875" style="1" customWidth="1"/>
    <col min="12" max="12" width="7.4609375" style="14" customWidth="1"/>
    <col min="13" max="13" width="24.23046875" style="1" customWidth="1"/>
    <col min="14" max="14" width="7.4609375" style="14" customWidth="1"/>
    <col min="15" max="15" width="24.23046875" style="1" customWidth="1"/>
    <col min="16" max="16" width="7.4609375" style="14" customWidth="1"/>
    <col min="17" max="17" width="13.3046875" style="1" customWidth="1"/>
    <col min="18" max="18" width="31.3046875" style="1" customWidth="1"/>
    <col min="19" max="19" width="11.84375" style="1" customWidth="1"/>
    <col min="20" max="20" width="11.3046875" style="1" customWidth="1"/>
    <col min="21" max="16384" width="6.69140625" style="1"/>
  </cols>
  <sheetData>
    <row r="1" spans="1:88" ht="49.75" customHeight="1" x14ac:dyDescent="0.3">
      <c r="R1" s="46"/>
      <c r="S1" s="46"/>
    </row>
    <row r="2" spans="1:88" ht="13.75" customHeight="1" x14ac:dyDescent="0.3">
      <c r="R2" s="46"/>
      <c r="S2" s="46"/>
    </row>
    <row r="3" spans="1:88" ht="19.399999999999999" customHeight="1" x14ac:dyDescent="0.3">
      <c r="B3" s="9"/>
      <c r="R3" s="46"/>
      <c r="S3" s="46"/>
      <c r="BB3" s="9"/>
      <c r="BC3" s="9"/>
      <c r="BD3" s="9"/>
    </row>
    <row r="4" spans="1:88" ht="43.75" customHeight="1" x14ac:dyDescent="0.65">
      <c r="B4" s="172"/>
      <c r="C4" s="172"/>
      <c r="R4" s="46"/>
      <c r="S4" s="46"/>
      <c r="BB4" s="9"/>
      <c r="BC4" s="9"/>
      <c r="BD4" s="9"/>
      <c r="BK4" s="160"/>
      <c r="BL4" s="160"/>
      <c r="BM4" s="160"/>
      <c r="BN4" s="160"/>
      <c r="CG4" s="11"/>
      <c r="CH4" s="13"/>
      <c r="CI4" s="11"/>
    </row>
    <row r="5" spans="1:88" ht="30" customHeight="1" x14ac:dyDescent="0.65">
      <c r="B5" s="172"/>
      <c r="C5" s="172"/>
      <c r="D5" s="15"/>
      <c r="F5" s="15"/>
      <c r="H5" s="15"/>
      <c r="I5" s="9"/>
      <c r="J5" s="15"/>
      <c r="K5" s="9"/>
      <c r="L5" s="15"/>
      <c r="M5" s="9"/>
      <c r="N5" s="15"/>
      <c r="O5" s="9"/>
      <c r="P5" s="15"/>
      <c r="R5" s="44"/>
      <c r="S5" s="44"/>
      <c r="BB5" s="9"/>
      <c r="BC5" s="9"/>
      <c r="BD5" s="9"/>
      <c r="BH5" s="9"/>
      <c r="BI5" s="9"/>
      <c r="BJ5" s="9"/>
      <c r="BK5" s="160"/>
      <c r="BL5" s="160"/>
      <c r="BM5" s="160"/>
      <c r="BN5" s="160"/>
      <c r="BO5" s="9"/>
      <c r="BP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12"/>
      <c r="CH5" s="12"/>
      <c r="CI5" s="12"/>
      <c r="CJ5" s="9"/>
    </row>
    <row r="6" spans="1:88" ht="48.65" customHeight="1" x14ac:dyDescent="0.65">
      <c r="F6" s="16"/>
      <c r="G6" s="173" t="s">
        <v>23</v>
      </c>
      <c r="H6" s="173"/>
      <c r="I6" s="59" t="str">
        <f>UPPER(TEXT(DATE(CalendarYear,1,1)," yyyy"))</f>
        <v xml:space="preserve"> 2021</v>
      </c>
      <c r="J6" s="16"/>
      <c r="K6" s="7"/>
      <c r="L6" s="16"/>
      <c r="N6" s="16"/>
      <c r="R6" s="43"/>
      <c r="S6" s="43"/>
      <c r="BO6" s="7"/>
      <c r="BP6" s="8"/>
      <c r="BR6" s="7"/>
      <c r="BS6" s="8"/>
      <c r="BT6" s="7"/>
      <c r="BU6" s="7"/>
      <c r="BV6" s="8"/>
      <c r="BW6" s="7"/>
      <c r="BX6" s="7"/>
      <c r="BY6" s="8"/>
      <c r="CA6" s="7"/>
      <c r="CB6" s="161"/>
      <c r="CC6" s="161"/>
      <c r="CD6" s="10"/>
      <c r="CE6" s="8"/>
      <c r="CG6" s="11"/>
      <c r="CH6" s="11"/>
      <c r="CI6" s="11"/>
    </row>
    <row r="7" spans="1:88" customFormat="1" ht="26.25" customHeight="1" x14ac:dyDescent="0.3">
      <c r="A7" s="1"/>
      <c r="B7" s="20"/>
      <c r="C7" s="60" t="s">
        <v>7</v>
      </c>
      <c r="D7" s="60"/>
      <c r="E7" s="60" t="s">
        <v>8</v>
      </c>
      <c r="F7" s="60"/>
      <c r="G7" s="60" t="s">
        <v>9</v>
      </c>
      <c r="H7" s="60"/>
      <c r="I7" s="60" t="s">
        <v>10</v>
      </c>
      <c r="J7" s="60"/>
      <c r="K7" s="60" t="s">
        <v>11</v>
      </c>
      <c r="L7" s="60"/>
      <c r="M7" s="60" t="s">
        <v>12</v>
      </c>
      <c r="N7" s="60"/>
      <c r="O7" s="60" t="s">
        <v>13</v>
      </c>
      <c r="P7" s="45"/>
      <c r="Q7" s="1"/>
      <c r="S7" s="1"/>
      <c r="T7" s="6"/>
      <c r="X7" s="1"/>
      <c r="Y7" s="1"/>
    </row>
    <row r="8" spans="1:88" s="51" customFormat="1" ht="18" customHeight="1" x14ac:dyDescent="0.3">
      <c r="B8" s="88"/>
      <c r="C8" s="55" t="str">
        <f>IF(DAY(OctSun1)=1,"",IF(AND(YEAR(OctSun1+1)=CalendarYear,MONTH(OctSun1+1)=10),OctSun1+1,""))</f>
        <v/>
      </c>
      <c r="D8" s="61" t="s">
        <v>29</v>
      </c>
      <c r="E8" s="55" t="str">
        <f>IF(DAY(OctSun1)=1,"",IF(AND(YEAR(OctSun1+2)=CalendarYear,MONTH(OctSun1+2)=10),OctSun1+2,""))</f>
        <v/>
      </c>
      <c r="F8" s="61" t="s">
        <v>29</v>
      </c>
      <c r="G8" s="56" t="str">
        <f>IF(DAY(OctSun1)=1,"",IF(AND(YEAR(OctSun1+3)=CalendarYear,MONTH(OctSun1+3)=10),OctSun1+3,""))</f>
        <v/>
      </c>
      <c r="H8" s="61" t="s">
        <v>29</v>
      </c>
      <c r="I8" s="56" t="str">
        <f>IF(DAY(OctSun1)=1,"",IF(AND(YEAR(OctSun1+4)=CalendarYear,MONTH(OctSun1+4)=10),OctSun1+4,""))</f>
        <v/>
      </c>
      <c r="J8" s="61" t="s">
        <v>29</v>
      </c>
      <c r="K8" s="56">
        <f>IF(DAY(OctSun1)=1,"",IF(AND(YEAR(OctSun1+5)=CalendarYear,MONTH(OctSun1+5)=10),OctSun1+5,""))</f>
        <v>44470</v>
      </c>
      <c r="L8" s="61" t="s">
        <v>29</v>
      </c>
      <c r="M8" s="56">
        <f>IF(DAY(OctSun1)=1,"",IF(AND(YEAR(OctSun1+6)=CalendarYear,MONTH(OctSun1+6)=10),OctSun1+6,""))</f>
        <v>44471</v>
      </c>
      <c r="N8" s="61" t="s">
        <v>29</v>
      </c>
      <c r="O8" s="56">
        <f>IF(DAY(OctSun1)=1,IF(AND(YEAR(OctSun1)=CalendarYear,MONTH(OctSun1)=10),OctSun1,""),IF(AND(YEAR(OctSun1+7)=CalendarYear,MONTH(OctSun1+7)=10),OctSun1+7,""))</f>
        <v>44472</v>
      </c>
      <c r="P8" s="61" t="s">
        <v>29</v>
      </c>
      <c r="Q8" s="47"/>
      <c r="T8" s="53"/>
      <c r="U8" s="54"/>
    </row>
    <row r="9" spans="1:88" s="23" customFormat="1" ht="17.5" customHeight="1" x14ac:dyDescent="0.45">
      <c r="B9" s="79" t="s">
        <v>37</v>
      </c>
      <c r="C9" s="80"/>
      <c r="D9" s="81"/>
      <c r="E9" s="80"/>
      <c r="F9" s="81"/>
      <c r="G9" s="82"/>
      <c r="H9" s="81"/>
      <c r="I9" s="82"/>
      <c r="J9" s="81"/>
      <c r="K9" s="83" t="s">
        <v>38</v>
      </c>
      <c r="L9" s="63"/>
      <c r="M9" s="62" t="s">
        <v>30</v>
      </c>
      <c r="N9" s="63"/>
      <c r="O9" s="62" t="s">
        <v>30</v>
      </c>
      <c r="P9" s="26"/>
      <c r="Q9" s="22"/>
    </row>
    <row r="10" spans="1:88" s="23" customFormat="1" ht="17.5" customHeight="1" x14ac:dyDescent="0.45">
      <c r="B10" s="79"/>
      <c r="C10" s="84"/>
      <c r="D10" s="85"/>
      <c r="E10" s="84"/>
      <c r="F10" s="85"/>
      <c r="G10" s="86"/>
      <c r="H10" s="85"/>
      <c r="I10" s="86"/>
      <c r="J10" s="85"/>
      <c r="K10" s="87"/>
      <c r="L10" s="65"/>
      <c r="M10" s="64"/>
      <c r="N10" s="65"/>
      <c r="O10" s="64"/>
      <c r="P10" s="29"/>
      <c r="Q10" s="22"/>
    </row>
    <row r="11" spans="1:88" s="23" customFormat="1" ht="17.5" customHeight="1" x14ac:dyDescent="0.45">
      <c r="B11" s="79"/>
      <c r="C11" s="84"/>
      <c r="D11" s="85"/>
      <c r="E11" s="84"/>
      <c r="F11" s="85"/>
      <c r="G11" s="86"/>
      <c r="H11" s="85"/>
      <c r="I11" s="86"/>
      <c r="J11" s="85"/>
      <c r="K11" s="87" t="s">
        <v>39</v>
      </c>
      <c r="L11" s="65"/>
      <c r="M11" s="64" t="s">
        <v>30</v>
      </c>
      <c r="N11" s="65"/>
      <c r="O11" s="64" t="s">
        <v>30</v>
      </c>
      <c r="P11" s="29"/>
      <c r="Q11" s="22"/>
    </row>
    <row r="12" spans="1:88" s="23" customFormat="1" ht="17.5" customHeight="1" x14ac:dyDescent="0.45">
      <c r="B12" s="79"/>
      <c r="C12" s="84"/>
      <c r="D12" s="85"/>
      <c r="E12" s="84"/>
      <c r="F12" s="85"/>
      <c r="G12" s="86"/>
      <c r="H12" s="85"/>
      <c r="I12" s="86"/>
      <c r="J12" s="85"/>
      <c r="K12" s="87"/>
      <c r="L12" s="65"/>
      <c r="M12" s="64"/>
      <c r="N12" s="65"/>
      <c r="O12" s="64"/>
      <c r="P12" s="29"/>
      <c r="Q12" s="22"/>
    </row>
    <row r="13" spans="1:88" s="23" customFormat="1" ht="17.5" customHeight="1" x14ac:dyDescent="0.45">
      <c r="B13" s="79"/>
      <c r="C13" s="84"/>
      <c r="D13" s="85"/>
      <c r="E13" s="84"/>
      <c r="F13" s="85"/>
      <c r="G13" s="86"/>
      <c r="H13" s="85"/>
      <c r="I13" s="86"/>
      <c r="J13" s="85"/>
      <c r="K13" s="87" t="s">
        <v>40</v>
      </c>
      <c r="L13" s="65"/>
      <c r="M13" s="64" t="s">
        <v>30</v>
      </c>
      <c r="N13" s="65"/>
      <c r="O13" s="64" t="s">
        <v>30</v>
      </c>
      <c r="P13" s="29"/>
      <c r="Q13" s="22"/>
    </row>
    <row r="14" spans="1:88" s="23" customFormat="1" ht="17.5" customHeight="1" x14ac:dyDescent="0.45">
      <c r="B14" s="79"/>
      <c r="C14" s="84"/>
      <c r="D14" s="85"/>
      <c r="E14" s="84"/>
      <c r="F14" s="85"/>
      <c r="G14" s="86"/>
      <c r="H14" s="85"/>
      <c r="I14" s="86"/>
      <c r="J14" s="85"/>
      <c r="K14" s="87"/>
      <c r="L14" s="65"/>
      <c r="M14" s="64"/>
      <c r="N14" s="65"/>
      <c r="O14" s="64"/>
      <c r="P14" s="29"/>
      <c r="Q14" s="22"/>
    </row>
    <row r="15" spans="1:88" s="23" customFormat="1" ht="17.5" customHeight="1" x14ac:dyDescent="0.45">
      <c r="B15" s="79"/>
      <c r="C15" s="84"/>
      <c r="D15" s="85"/>
      <c r="E15" s="84"/>
      <c r="F15" s="85"/>
      <c r="G15" s="86"/>
      <c r="H15" s="85"/>
      <c r="I15" s="86"/>
      <c r="J15" s="85"/>
      <c r="K15" s="87" t="s">
        <v>41</v>
      </c>
      <c r="L15" s="65"/>
      <c r="M15" s="64" t="s">
        <v>30</v>
      </c>
      <c r="N15" s="65"/>
      <c r="O15" s="64" t="s">
        <v>30</v>
      </c>
      <c r="P15" s="29"/>
      <c r="Q15" s="22"/>
    </row>
    <row r="16" spans="1:88" s="23" customFormat="1" ht="17.5" customHeight="1" x14ac:dyDescent="0.45">
      <c r="B16" s="79"/>
      <c r="C16" s="84"/>
      <c r="D16" s="85"/>
      <c r="E16" s="84"/>
      <c r="F16" s="85"/>
      <c r="G16" s="86"/>
      <c r="H16" s="85"/>
      <c r="I16" s="86"/>
      <c r="J16" s="85"/>
      <c r="K16" s="87"/>
      <c r="L16" s="65"/>
      <c r="M16" s="64"/>
      <c r="N16" s="65"/>
      <c r="O16" s="64"/>
      <c r="P16" s="29"/>
      <c r="Q16" s="22"/>
    </row>
    <row r="17" spans="2:21" s="23" customFormat="1" ht="17.5" customHeight="1" x14ac:dyDescent="0.45">
      <c r="B17" s="79"/>
      <c r="C17" s="84"/>
      <c r="D17" s="85"/>
      <c r="E17" s="84"/>
      <c r="F17" s="85"/>
      <c r="G17" s="86"/>
      <c r="H17" s="85"/>
      <c r="I17" s="86"/>
      <c r="J17" s="85"/>
      <c r="K17" s="87" t="s">
        <v>42</v>
      </c>
      <c r="L17" s="65"/>
      <c r="M17" s="64" t="s">
        <v>30</v>
      </c>
      <c r="N17" s="65"/>
      <c r="O17" s="64" t="s">
        <v>30</v>
      </c>
      <c r="P17" s="29"/>
      <c r="Q17" s="22"/>
    </row>
    <row r="18" spans="2:21" s="23" customFormat="1" ht="17.5" customHeight="1" x14ac:dyDescent="0.45">
      <c r="B18" s="70"/>
      <c r="C18" s="71"/>
      <c r="D18" s="72"/>
      <c r="E18" s="71"/>
      <c r="F18" s="72"/>
      <c r="G18" s="73"/>
      <c r="H18" s="72"/>
      <c r="I18" s="73"/>
      <c r="J18" s="72"/>
      <c r="K18" s="74"/>
      <c r="L18" s="65"/>
      <c r="M18" s="64"/>
      <c r="N18" s="65"/>
      <c r="O18" s="64"/>
      <c r="P18" s="29"/>
      <c r="Q18" s="22"/>
    </row>
    <row r="19" spans="2:21" s="23" customFormat="1" ht="17.5" customHeight="1" x14ac:dyDescent="0.45">
      <c r="B19" s="70" t="s">
        <v>43</v>
      </c>
      <c r="C19" s="71"/>
      <c r="D19" s="72"/>
      <c r="E19" s="71"/>
      <c r="F19" s="72"/>
      <c r="G19" s="73"/>
      <c r="H19" s="72"/>
      <c r="I19" s="73"/>
      <c r="J19" s="72"/>
      <c r="K19" s="74" t="s">
        <v>44</v>
      </c>
      <c r="L19" s="65"/>
      <c r="M19" s="64"/>
      <c r="N19" s="65"/>
      <c r="O19" s="64"/>
      <c r="P19" s="29"/>
      <c r="Q19" s="22"/>
    </row>
    <row r="20" spans="2:21" s="23" customFormat="1" ht="17.5" customHeight="1" x14ac:dyDescent="0.45">
      <c r="B20" s="75"/>
      <c r="C20" s="76"/>
      <c r="D20" s="77"/>
      <c r="E20" s="76"/>
      <c r="F20" s="77"/>
      <c r="G20" s="78"/>
      <c r="H20" s="77"/>
      <c r="I20" s="78"/>
      <c r="J20" s="77"/>
      <c r="K20" s="89" t="s">
        <v>34</v>
      </c>
      <c r="L20" s="32"/>
      <c r="M20" s="33"/>
      <c r="N20" s="32"/>
      <c r="O20" s="33"/>
      <c r="P20" s="32"/>
      <c r="Q20" s="22"/>
    </row>
    <row r="21" spans="2:21" s="51" customFormat="1" ht="18" customHeight="1" x14ac:dyDescent="0.3">
      <c r="B21" s="90"/>
      <c r="C21" s="55">
        <f>IF(DAY(OctSun1)=1,IF(AND(YEAR(OctSun1+1)=CalendarYear,MONTH(OctSun1+1)=10),OctSun1+1,""),IF(AND(YEAR(OctSun1+8)=CalendarYear,MONTH(OctSun1+8)=10),OctSun1+8,""))</f>
        <v>44473</v>
      </c>
      <c r="D21" s="61" t="s">
        <v>29</v>
      </c>
      <c r="E21" s="55">
        <f>IF(DAY(OctSun1)=1,IF(AND(YEAR(OctSun1+2)=CalendarYear,MONTH(OctSun1+2)=10),OctSun1+2,""),IF(AND(YEAR(OctSun1+9)=CalendarYear,MONTH(OctSun1+9)=10),OctSun1+9,""))</f>
        <v>44474</v>
      </c>
      <c r="F21" s="61" t="s">
        <v>29</v>
      </c>
      <c r="G21" s="56">
        <f>IF(DAY(OctSun1)=1,IF(AND(YEAR(OctSun1+3)=CalendarYear,MONTH(OctSun1+3)=10),OctSun1+3,""),IF(AND(YEAR(OctSun1+10)=CalendarYear,MONTH(OctSun1+10)=10),OctSun1+10,""))</f>
        <v>44475</v>
      </c>
      <c r="H21" s="61" t="s">
        <v>29</v>
      </c>
      <c r="I21" s="56">
        <f>IF(DAY(OctSun1)=1,IF(AND(YEAR(OctSun1+4)=CalendarYear,MONTH(OctSun1+4)=10),OctSun1+4,""),IF(AND(YEAR(OctSun1+11)=CalendarYear,MONTH(OctSun1+11)=10),OctSun1+11,""))</f>
        <v>44476</v>
      </c>
      <c r="J21" s="61" t="s">
        <v>29</v>
      </c>
      <c r="K21" s="56">
        <f>IF(DAY(OctSun1)=1,IF(AND(YEAR(OctSun1+5)=CalendarYear,MONTH(OctSun1+5)=10),OctSun1+5,""),IF(AND(YEAR(OctSun1+12)=CalendarYear,MONTH(OctSun1+12)=10),OctSun1+12,""))</f>
        <v>44477</v>
      </c>
      <c r="L21" s="61" t="s">
        <v>29</v>
      </c>
      <c r="M21" s="56">
        <f>IF(DAY(OctSun1)=1,IF(AND(YEAR(OctSun1+6)=CalendarYear,MONTH(OctSun1+6)=10),OctSun1+6,""),IF(AND(YEAR(OctSun1+13)=CalendarYear,MONTH(OctSun1+13)=10),OctSun1+13,""))</f>
        <v>44478</v>
      </c>
      <c r="N21" s="61" t="s">
        <v>29</v>
      </c>
      <c r="O21" s="56">
        <f>IF(DAY(OctSun1)=1,IF(AND(YEAR(OctSun1+7)=CalendarYear,MONTH(OctSun1+7)=10),OctSun1+7,""),IF(AND(YEAR(OctSun1+14)=CalendarYear,MONTH(OctSun1+14)=10),OctSun1+14,""))</f>
        <v>44479</v>
      </c>
      <c r="P21" s="61" t="s">
        <v>29</v>
      </c>
      <c r="Q21" s="47"/>
      <c r="T21" s="53"/>
      <c r="U21" s="54"/>
    </row>
    <row r="22" spans="2:21" s="23" customFormat="1" ht="17.5" customHeight="1" x14ac:dyDescent="0.45">
      <c r="B22" s="79" t="s">
        <v>37</v>
      </c>
      <c r="C22" s="91" t="s">
        <v>45</v>
      </c>
      <c r="D22" s="92"/>
      <c r="E22" s="91" t="s">
        <v>52</v>
      </c>
      <c r="F22" s="92"/>
      <c r="G22" s="83" t="s">
        <v>55</v>
      </c>
      <c r="H22" s="92"/>
      <c r="I22" s="83" t="s">
        <v>32</v>
      </c>
      <c r="J22" s="92"/>
      <c r="K22" s="83" t="s">
        <v>65</v>
      </c>
      <c r="L22" s="66"/>
      <c r="M22" s="67" t="s">
        <v>30</v>
      </c>
      <c r="N22" s="66"/>
      <c r="O22" s="67" t="s">
        <v>30</v>
      </c>
      <c r="P22" s="35"/>
      <c r="Q22" s="22"/>
    </row>
    <row r="23" spans="2:21" s="23" customFormat="1" ht="17.5" customHeight="1" x14ac:dyDescent="0.45">
      <c r="B23" s="79"/>
      <c r="C23" s="93"/>
      <c r="D23" s="94"/>
      <c r="E23" s="93"/>
      <c r="F23" s="94"/>
      <c r="G23" s="95"/>
      <c r="H23" s="94"/>
      <c r="I23" s="95"/>
      <c r="J23" s="94"/>
      <c r="K23" s="87"/>
      <c r="L23" s="68"/>
      <c r="M23" s="69"/>
      <c r="N23" s="68"/>
      <c r="O23" s="69"/>
      <c r="P23" s="38"/>
      <c r="Q23" s="22"/>
    </row>
    <row r="24" spans="2:21" s="23" customFormat="1" ht="17.5" customHeight="1" x14ac:dyDescent="0.45">
      <c r="B24" s="79"/>
      <c r="C24" s="93" t="s">
        <v>39</v>
      </c>
      <c r="D24" s="94"/>
      <c r="E24" s="93" t="s">
        <v>39</v>
      </c>
      <c r="F24" s="94"/>
      <c r="G24" s="95" t="s">
        <v>46</v>
      </c>
      <c r="H24" s="94"/>
      <c r="I24" s="95" t="s">
        <v>66</v>
      </c>
      <c r="J24" s="94"/>
      <c r="K24" s="87" t="s">
        <v>39</v>
      </c>
      <c r="L24" s="68"/>
      <c r="M24" s="69" t="s">
        <v>30</v>
      </c>
      <c r="N24" s="68"/>
      <c r="O24" s="69" t="s">
        <v>30</v>
      </c>
      <c r="P24" s="38"/>
      <c r="Q24" s="22"/>
    </row>
    <row r="25" spans="2:21" s="23" customFormat="1" ht="17.5" customHeight="1" x14ac:dyDescent="0.45">
      <c r="B25" s="79"/>
      <c r="C25" s="93"/>
      <c r="D25" s="94"/>
      <c r="E25" s="93"/>
      <c r="F25" s="94"/>
      <c r="G25" s="95"/>
      <c r="H25" s="94"/>
      <c r="I25" s="95"/>
      <c r="J25" s="94"/>
      <c r="K25" s="87"/>
      <c r="L25" s="68"/>
      <c r="M25" s="69"/>
      <c r="N25" s="68"/>
      <c r="O25" s="69"/>
      <c r="P25" s="38"/>
      <c r="Q25" s="22"/>
    </row>
    <row r="26" spans="2:21" s="23" customFormat="1" ht="17.5" customHeight="1" x14ac:dyDescent="0.45">
      <c r="B26" s="79"/>
      <c r="C26" s="93" t="s">
        <v>47</v>
      </c>
      <c r="D26" s="94"/>
      <c r="E26" s="93" t="s">
        <v>53</v>
      </c>
      <c r="F26" s="94"/>
      <c r="G26" s="95" t="s">
        <v>40</v>
      </c>
      <c r="H26" s="94"/>
      <c r="I26" s="95" t="s">
        <v>47</v>
      </c>
      <c r="J26" s="94"/>
      <c r="K26" s="87" t="s">
        <v>40</v>
      </c>
      <c r="L26" s="68"/>
      <c r="M26" s="69" t="s">
        <v>30</v>
      </c>
      <c r="N26" s="68"/>
      <c r="O26" s="69" t="s">
        <v>30</v>
      </c>
      <c r="P26" s="38"/>
      <c r="Q26" s="22"/>
    </row>
    <row r="27" spans="2:21" s="23" customFormat="1" ht="17.5" customHeight="1" x14ac:dyDescent="0.45">
      <c r="B27" s="79"/>
      <c r="C27" s="93"/>
      <c r="D27" s="94"/>
      <c r="E27" s="93"/>
      <c r="F27" s="94"/>
      <c r="G27" s="95"/>
      <c r="H27" s="94"/>
      <c r="I27" s="95"/>
      <c r="J27" s="94"/>
      <c r="K27" s="87"/>
      <c r="L27" s="68"/>
      <c r="M27" s="69"/>
      <c r="N27" s="68"/>
      <c r="O27" s="69"/>
      <c r="P27" s="38"/>
      <c r="Q27" s="22"/>
    </row>
    <row r="28" spans="2:21" s="23" customFormat="1" ht="17.5" customHeight="1" x14ac:dyDescent="0.45">
      <c r="B28" s="79"/>
      <c r="C28" s="93" t="s">
        <v>63</v>
      </c>
      <c r="D28" s="94"/>
      <c r="E28" s="93" t="s">
        <v>54</v>
      </c>
      <c r="F28" s="94"/>
      <c r="G28" s="95" t="s">
        <v>56</v>
      </c>
      <c r="H28" s="94"/>
      <c r="I28" s="95" t="s">
        <v>53</v>
      </c>
      <c r="J28" s="94"/>
      <c r="K28" s="87" t="s">
        <v>48</v>
      </c>
      <c r="L28" s="68"/>
      <c r="M28" s="69" t="s">
        <v>30</v>
      </c>
      <c r="N28" s="68"/>
      <c r="O28" s="69" t="s">
        <v>30</v>
      </c>
      <c r="P28" s="38"/>
      <c r="Q28" s="22"/>
    </row>
    <row r="29" spans="2:21" s="23" customFormat="1" ht="17.5" customHeight="1" x14ac:dyDescent="0.45">
      <c r="B29" s="79"/>
      <c r="C29" s="93"/>
      <c r="D29" s="94"/>
      <c r="E29" s="93"/>
      <c r="F29" s="94"/>
      <c r="G29" s="95"/>
      <c r="H29" s="94"/>
      <c r="I29" s="95"/>
      <c r="J29" s="94"/>
      <c r="K29" s="87"/>
      <c r="L29" s="68"/>
      <c r="M29" s="69"/>
      <c r="N29" s="68"/>
      <c r="O29" s="69"/>
      <c r="P29" s="38"/>
      <c r="Q29" s="22"/>
    </row>
    <row r="30" spans="2:21" s="23" customFormat="1" ht="17.5" customHeight="1" x14ac:dyDescent="0.45">
      <c r="B30" s="79"/>
      <c r="C30" s="93" t="s">
        <v>57</v>
      </c>
      <c r="D30" s="94"/>
      <c r="E30" s="93" t="s">
        <v>42</v>
      </c>
      <c r="F30" s="94"/>
      <c r="G30" s="95" t="s">
        <v>58</v>
      </c>
      <c r="H30" s="94"/>
      <c r="I30" s="95" t="s">
        <v>61</v>
      </c>
      <c r="J30" s="94"/>
      <c r="K30" s="87" t="s">
        <v>42</v>
      </c>
      <c r="L30" s="68"/>
      <c r="M30" s="69" t="s">
        <v>30</v>
      </c>
      <c r="N30" s="68"/>
      <c r="O30" s="69" t="s">
        <v>30</v>
      </c>
      <c r="P30" s="38"/>
      <c r="Q30" s="22"/>
    </row>
    <row r="31" spans="2:21" s="23" customFormat="1" ht="17.5" customHeight="1" x14ac:dyDescent="0.45">
      <c r="B31" s="70"/>
      <c r="C31" s="96"/>
      <c r="D31" s="97"/>
      <c r="E31" s="96"/>
      <c r="F31" s="97"/>
      <c r="G31" s="98"/>
      <c r="H31" s="97"/>
      <c r="I31" s="98"/>
      <c r="J31" s="97"/>
      <c r="K31" s="74"/>
      <c r="L31" s="68"/>
      <c r="M31" s="69"/>
      <c r="N31" s="68"/>
      <c r="O31" s="69"/>
      <c r="P31" s="38"/>
      <c r="Q31" s="22"/>
    </row>
    <row r="32" spans="2:21" s="23" customFormat="1" ht="17.5" customHeight="1" x14ac:dyDescent="0.45">
      <c r="B32" s="70" t="s">
        <v>43</v>
      </c>
      <c r="C32" s="96" t="s">
        <v>50</v>
      </c>
      <c r="D32" s="97"/>
      <c r="E32" s="96" t="s">
        <v>51</v>
      </c>
      <c r="F32" s="97"/>
      <c r="G32" s="98" t="s">
        <v>59</v>
      </c>
      <c r="H32" s="97"/>
      <c r="I32" s="98" t="s">
        <v>62</v>
      </c>
      <c r="J32" s="97"/>
      <c r="K32" s="74" t="s">
        <v>64</v>
      </c>
      <c r="L32" s="38"/>
      <c r="M32" s="39"/>
      <c r="N32" s="38"/>
      <c r="O32" s="39"/>
      <c r="P32" s="38"/>
      <c r="Q32" s="22"/>
    </row>
    <row r="33" spans="2:21" s="23" customFormat="1" ht="17.5" customHeight="1" x14ac:dyDescent="0.45">
      <c r="B33" s="75"/>
      <c r="C33" s="99" t="s">
        <v>31</v>
      </c>
      <c r="D33" s="100"/>
      <c r="E33" s="99" t="s">
        <v>34</v>
      </c>
      <c r="F33" s="100"/>
      <c r="G33" s="89" t="s">
        <v>60</v>
      </c>
      <c r="H33" s="100"/>
      <c r="I33" s="89" t="s">
        <v>31</v>
      </c>
      <c r="J33" s="100"/>
      <c r="K33" s="89" t="s">
        <v>61</v>
      </c>
      <c r="L33" s="41"/>
      <c r="M33" s="42"/>
      <c r="N33" s="41"/>
      <c r="O33" s="42"/>
      <c r="P33" s="41"/>
      <c r="Q33" s="22"/>
    </row>
    <row r="34" spans="2:21" s="51" customFormat="1" ht="18" customHeight="1" x14ac:dyDescent="0.3">
      <c r="B34" s="90"/>
      <c r="C34" s="55">
        <f>IF(DAY(OctSun1)=1,IF(AND(YEAR(OctSun1+8)=CalendarYear,MONTH(OctSun1+8)=10),OctSun1+8,""),IF(AND(YEAR(OctSun1+15)=CalendarYear,MONTH(OctSun1+15)=10),OctSun1+15,""))</f>
        <v>44480</v>
      </c>
      <c r="D34" s="61" t="s">
        <v>29</v>
      </c>
      <c r="E34" s="55">
        <f>IF(DAY(OctSun1)=1,IF(AND(YEAR(OctSun1+9)=CalendarYear,MONTH(OctSun1+9)=10),OctSun1+9,""),IF(AND(YEAR(OctSun1+16)=CalendarYear,MONTH(OctSun1+16)=10),OctSun1+16,""))</f>
        <v>44481</v>
      </c>
      <c r="F34" s="61" t="s">
        <v>29</v>
      </c>
      <c r="G34" s="56">
        <f>IF(DAY(OctSun1)=1,IF(AND(YEAR(OctSun1+10)=CalendarYear,MONTH(OctSun1+10)=10),OctSun1+10,""),IF(AND(YEAR(OctSun1+17)=CalendarYear,MONTH(OctSun1+17)=10),OctSun1+17,""))</f>
        <v>44482</v>
      </c>
      <c r="H34" s="61" t="s">
        <v>29</v>
      </c>
      <c r="I34" s="56">
        <f>IF(DAY(OctSun1)=1,IF(AND(YEAR(OctSun1+11)=CalendarYear,MONTH(OctSun1+11)=10),OctSun1+11,""),IF(AND(YEAR(OctSun1+18)=CalendarYear,MONTH(OctSun1+18)=10),OctSun1+18,""))</f>
        <v>44483</v>
      </c>
      <c r="J34" s="61" t="s">
        <v>29</v>
      </c>
      <c r="K34" s="56">
        <f>IF(DAY(OctSun1)=1,IF(AND(YEAR(OctSun1+12)=CalendarYear,MONTH(OctSun1+12)=10),OctSun1+12,""),IF(AND(YEAR(OctSun1+19)=CalendarYear,MONTH(OctSun1+19)=10),OctSun1+19,""))</f>
        <v>44484</v>
      </c>
      <c r="L34" s="61" t="s">
        <v>29</v>
      </c>
      <c r="M34" s="56">
        <f>IF(DAY(OctSun1)=1,IF(AND(YEAR(OctSun1+13)=CalendarYear,MONTH(OctSun1+13)=10),OctSun1+13,""),IF(AND(YEAR(OctSun1+20)=CalendarYear,MONTH(OctSun1+20)=10),OctSun1+20,""))</f>
        <v>44485</v>
      </c>
      <c r="N34" s="61" t="s">
        <v>29</v>
      </c>
      <c r="O34" s="56">
        <f>IF(DAY(OctSun1)=1,IF(AND(YEAR(OctSun1+14)=CalendarYear,MONTH(OctSun1+14)=10),OctSun1+14,""),IF(AND(YEAR(OctSun1+21)=CalendarYear,MONTH(OctSun1+21)=10),OctSun1+21,""))</f>
        <v>44486</v>
      </c>
      <c r="P34" s="61" t="s">
        <v>29</v>
      </c>
      <c r="Q34" s="47"/>
      <c r="T34" s="53"/>
      <c r="U34" s="54"/>
    </row>
    <row r="35" spans="2:21" s="23" customFormat="1" ht="17.5" customHeight="1" x14ac:dyDescent="0.45">
      <c r="B35" s="79" t="s">
        <v>37</v>
      </c>
      <c r="C35" s="91" t="s">
        <v>67</v>
      </c>
      <c r="D35" s="92"/>
      <c r="E35" s="91" t="s">
        <v>52</v>
      </c>
      <c r="F35" s="92"/>
      <c r="G35" s="83" t="s">
        <v>69</v>
      </c>
      <c r="H35" s="92"/>
      <c r="I35" s="83" t="s">
        <v>65</v>
      </c>
      <c r="J35" s="92"/>
      <c r="K35" s="83" t="s">
        <v>32</v>
      </c>
      <c r="L35" s="63"/>
      <c r="M35" s="62" t="s">
        <v>30</v>
      </c>
      <c r="N35" s="63"/>
      <c r="O35" s="62" t="s">
        <v>30</v>
      </c>
      <c r="P35" s="26"/>
      <c r="Q35" s="22"/>
    </row>
    <row r="36" spans="2:21" s="23" customFormat="1" ht="17.5" customHeight="1" x14ac:dyDescent="0.45">
      <c r="B36" s="79"/>
      <c r="C36" s="93"/>
      <c r="D36" s="94"/>
      <c r="E36" s="93"/>
      <c r="F36" s="94"/>
      <c r="G36" s="95"/>
      <c r="H36" s="94"/>
      <c r="I36" s="95"/>
      <c r="J36" s="94"/>
      <c r="K36" s="87"/>
      <c r="L36" s="65"/>
      <c r="M36" s="64"/>
      <c r="N36" s="65"/>
      <c r="O36" s="64"/>
      <c r="P36" s="29"/>
      <c r="Q36" s="22"/>
    </row>
    <row r="37" spans="2:21" s="23" customFormat="1" ht="17.5" customHeight="1" x14ac:dyDescent="0.45">
      <c r="B37" s="79"/>
      <c r="C37" s="93" t="s">
        <v>39</v>
      </c>
      <c r="D37" s="94"/>
      <c r="E37" s="93" t="s">
        <v>39</v>
      </c>
      <c r="F37" s="94"/>
      <c r="G37" s="95" t="s">
        <v>39</v>
      </c>
      <c r="H37" s="94"/>
      <c r="I37" s="95" t="s">
        <v>39</v>
      </c>
      <c r="J37" s="94"/>
      <c r="K37" s="87" t="s">
        <v>66</v>
      </c>
      <c r="L37" s="65"/>
      <c r="M37" s="64" t="s">
        <v>30</v>
      </c>
      <c r="N37" s="65"/>
      <c r="O37" s="64" t="s">
        <v>30</v>
      </c>
      <c r="P37" s="29"/>
      <c r="Q37" s="22"/>
    </row>
    <row r="38" spans="2:21" s="23" customFormat="1" ht="17.5" customHeight="1" x14ac:dyDescent="0.45">
      <c r="B38" s="79"/>
      <c r="C38" s="93"/>
      <c r="D38" s="94"/>
      <c r="E38" s="93"/>
      <c r="F38" s="94"/>
      <c r="G38" s="95"/>
      <c r="H38" s="94"/>
      <c r="I38" s="95"/>
      <c r="J38" s="94"/>
      <c r="K38" s="87" t="s">
        <v>35</v>
      </c>
      <c r="L38" s="65"/>
      <c r="M38" s="64"/>
      <c r="N38" s="65"/>
      <c r="O38" s="64"/>
      <c r="P38" s="29"/>
      <c r="Q38" s="22"/>
    </row>
    <row r="39" spans="2:21" s="23" customFormat="1" ht="17.5" customHeight="1" x14ac:dyDescent="0.45">
      <c r="B39" s="79"/>
      <c r="C39" s="93" t="s">
        <v>53</v>
      </c>
      <c r="D39" s="94"/>
      <c r="E39" s="93" t="s">
        <v>47</v>
      </c>
      <c r="F39" s="94"/>
      <c r="G39" s="95" t="s">
        <v>40</v>
      </c>
      <c r="H39" s="94"/>
      <c r="I39" s="95" t="s">
        <v>48</v>
      </c>
      <c r="J39" s="94"/>
      <c r="K39" s="87" t="s">
        <v>53</v>
      </c>
      <c r="L39" s="65"/>
      <c r="M39" s="64" t="s">
        <v>30</v>
      </c>
      <c r="N39" s="65"/>
      <c r="O39" s="64" t="s">
        <v>30</v>
      </c>
      <c r="P39" s="29"/>
      <c r="Q39" s="22"/>
    </row>
    <row r="40" spans="2:21" s="23" customFormat="1" ht="17.5" customHeight="1" x14ac:dyDescent="0.45">
      <c r="B40" s="79"/>
      <c r="C40" s="93"/>
      <c r="D40" s="94"/>
      <c r="E40" s="93"/>
      <c r="F40" s="94"/>
      <c r="G40" s="95"/>
      <c r="H40" s="94"/>
      <c r="I40" s="95"/>
      <c r="J40" s="94"/>
      <c r="K40" s="87"/>
      <c r="L40" s="65"/>
      <c r="M40" s="64"/>
      <c r="N40" s="65"/>
      <c r="O40" s="64"/>
      <c r="P40" s="29"/>
      <c r="Q40" s="22"/>
    </row>
    <row r="41" spans="2:21" s="23" customFormat="1" ht="17.5" customHeight="1" x14ac:dyDescent="0.45">
      <c r="B41" s="79"/>
      <c r="C41" s="93" t="s">
        <v>68</v>
      </c>
      <c r="D41" s="94"/>
      <c r="E41" s="93" t="s">
        <v>48</v>
      </c>
      <c r="F41" s="94"/>
      <c r="G41" s="95" t="s">
        <v>41</v>
      </c>
      <c r="H41" s="94"/>
      <c r="I41" s="95" t="s">
        <v>68</v>
      </c>
      <c r="J41" s="94"/>
      <c r="K41" s="87" t="s">
        <v>54</v>
      </c>
      <c r="L41" s="65"/>
      <c r="M41" s="64" t="s">
        <v>30</v>
      </c>
      <c r="N41" s="65"/>
      <c r="O41" s="64" t="s">
        <v>30</v>
      </c>
      <c r="P41" s="29"/>
      <c r="Q41" s="22"/>
    </row>
    <row r="42" spans="2:21" s="23" customFormat="1" ht="17.5" customHeight="1" x14ac:dyDescent="0.45">
      <c r="B42" s="79"/>
      <c r="C42" s="93"/>
      <c r="D42" s="94"/>
      <c r="E42" s="93"/>
      <c r="F42" s="94"/>
      <c r="G42" s="95"/>
      <c r="H42" s="94"/>
      <c r="I42" s="95"/>
      <c r="J42" s="94"/>
      <c r="K42" s="87"/>
      <c r="L42" s="65"/>
      <c r="M42" s="64"/>
      <c r="N42" s="65"/>
      <c r="O42" s="64"/>
      <c r="P42" s="29"/>
      <c r="Q42" s="22"/>
    </row>
    <row r="43" spans="2:21" s="23" customFormat="1" ht="17.5" customHeight="1" x14ac:dyDescent="0.45">
      <c r="B43" s="79"/>
      <c r="C43" s="93" t="s">
        <v>57</v>
      </c>
      <c r="D43" s="94"/>
      <c r="E43" s="93" t="s">
        <v>42</v>
      </c>
      <c r="F43" s="94"/>
      <c r="G43" s="95" t="s">
        <v>42</v>
      </c>
      <c r="H43" s="94"/>
      <c r="I43" s="95" t="s">
        <v>61</v>
      </c>
      <c r="J43" s="94"/>
      <c r="K43" s="87" t="s">
        <v>58</v>
      </c>
      <c r="L43" s="65"/>
      <c r="M43" s="64" t="s">
        <v>30</v>
      </c>
      <c r="N43" s="65"/>
      <c r="O43" s="64" t="s">
        <v>30</v>
      </c>
      <c r="P43" s="29"/>
      <c r="Q43" s="22"/>
    </row>
    <row r="44" spans="2:21" s="23" customFormat="1" ht="17.5" customHeight="1" x14ac:dyDescent="0.45">
      <c r="B44" s="70"/>
      <c r="C44" s="96"/>
      <c r="D44" s="97"/>
      <c r="E44" s="96"/>
      <c r="F44" s="97"/>
      <c r="G44" s="98"/>
      <c r="H44" s="97"/>
      <c r="I44" s="98"/>
      <c r="J44" s="97"/>
      <c r="K44" s="74"/>
      <c r="L44" s="65"/>
      <c r="M44" s="64"/>
      <c r="N44" s="65"/>
      <c r="O44" s="64"/>
      <c r="P44" s="29"/>
      <c r="Q44" s="22"/>
    </row>
    <row r="45" spans="2:21" s="23" customFormat="1" ht="17.5" customHeight="1" x14ac:dyDescent="0.45">
      <c r="B45" s="70" t="s">
        <v>43</v>
      </c>
      <c r="C45" s="96" t="s">
        <v>59</v>
      </c>
      <c r="D45" s="97"/>
      <c r="E45" s="96" t="s">
        <v>71</v>
      </c>
      <c r="F45" s="97"/>
      <c r="G45" s="98" t="s">
        <v>50</v>
      </c>
      <c r="H45" s="97"/>
      <c r="I45" s="98" t="s">
        <v>51</v>
      </c>
      <c r="J45" s="97"/>
      <c r="K45" s="74" t="s">
        <v>33</v>
      </c>
      <c r="L45" s="29"/>
      <c r="M45" s="30"/>
      <c r="N45" s="29"/>
      <c r="O45" s="30"/>
      <c r="P45" s="29"/>
      <c r="Q45" s="22"/>
    </row>
    <row r="46" spans="2:21" s="23" customFormat="1" ht="17.5" customHeight="1" x14ac:dyDescent="0.45">
      <c r="B46" s="75"/>
      <c r="C46" s="99" t="s">
        <v>34</v>
      </c>
      <c r="D46" s="100"/>
      <c r="E46" s="99" t="s">
        <v>49</v>
      </c>
      <c r="F46" s="100"/>
      <c r="G46" s="89" t="s">
        <v>31</v>
      </c>
      <c r="H46" s="100"/>
      <c r="I46" s="89" t="s">
        <v>31</v>
      </c>
      <c r="J46" s="100"/>
      <c r="K46" s="89" t="s">
        <v>60</v>
      </c>
      <c r="L46" s="32"/>
      <c r="M46" s="33"/>
      <c r="N46" s="32"/>
      <c r="O46" s="33"/>
      <c r="P46" s="32"/>
      <c r="Q46" s="22"/>
    </row>
    <row r="47" spans="2:21" s="51" customFormat="1" ht="18" customHeight="1" x14ac:dyDescent="0.3">
      <c r="B47" s="90"/>
      <c r="C47" s="55" t="s">
        <v>35</v>
      </c>
      <c r="D47" s="61" t="s">
        <v>29</v>
      </c>
      <c r="E47" s="55">
        <f>IF(DAY(OctSun1)=1,IF(AND(YEAR(OctSun1+16)=CalendarYear,MONTH(OctSun1+16)=10),OctSun1+16,""),IF(AND(YEAR(OctSun1+23)=CalendarYear,MONTH(OctSun1+23)=10),OctSun1+23,""))</f>
        <v>44488</v>
      </c>
      <c r="F47" s="61" t="s">
        <v>29</v>
      </c>
      <c r="G47" s="56">
        <f>IF(DAY(OctSun1)=1,IF(AND(YEAR(OctSun1+17)=CalendarYear,MONTH(OctSun1+17)=10),OctSun1+17,""),IF(AND(YEAR(OctSun1+24)=CalendarYear,MONTH(OctSun1+24)=10),OctSun1+24,""))</f>
        <v>44489</v>
      </c>
      <c r="H47" s="61" t="s">
        <v>29</v>
      </c>
      <c r="I47" s="56">
        <f>IF(DAY(OctSun1)=1,IF(AND(YEAR(OctSun1+18)=CalendarYear,MONTH(OctSun1+18)=10),OctSun1+18,""),IF(AND(YEAR(OctSun1+25)=CalendarYear,MONTH(OctSun1+25)=10),OctSun1+25,""))</f>
        <v>44490</v>
      </c>
      <c r="J47" s="61" t="s">
        <v>29</v>
      </c>
      <c r="K47" s="56">
        <f>IF(DAY(OctSun1)=1,IF(AND(YEAR(OctSun1+19)=CalendarYear,MONTH(OctSun1+19)=10),OctSun1+19,""),IF(AND(YEAR(OctSun1+26)=CalendarYear,MONTH(OctSun1+26)=10),OctSun1+26,""))</f>
        <v>44491</v>
      </c>
      <c r="L47" s="61" t="s">
        <v>29</v>
      </c>
      <c r="M47" s="56">
        <f>IF(DAY(OctSun1)=1,IF(AND(YEAR(OctSun1+20)=CalendarYear,MONTH(OctSun1+20)=10),OctSun1+20,""),IF(AND(YEAR(OctSun1+27)=CalendarYear,MONTH(OctSun1+27)=10),OctSun1+27,""))</f>
        <v>44492</v>
      </c>
      <c r="N47" s="61" t="s">
        <v>29</v>
      </c>
      <c r="O47" s="56">
        <f>IF(DAY(OctSun1)=1,IF(AND(YEAR(OctSun1+21)=CalendarYear,MONTH(OctSun1+21)=10),OctSun1+21,""),IF(AND(YEAR(OctSun1+28)=CalendarYear,MONTH(OctSun1+28)=10),OctSun1+28,""))</f>
        <v>44493</v>
      </c>
      <c r="P47" s="61" t="s">
        <v>29</v>
      </c>
      <c r="Q47" s="47"/>
      <c r="T47" s="53"/>
      <c r="U47" s="54"/>
    </row>
    <row r="48" spans="2:21" s="23" customFormat="1" ht="17.5" customHeight="1" x14ac:dyDescent="0.45">
      <c r="B48" s="79" t="s">
        <v>37</v>
      </c>
      <c r="C48" s="91" t="s">
        <v>72</v>
      </c>
      <c r="D48" s="92"/>
      <c r="E48" s="91" t="s">
        <v>38</v>
      </c>
      <c r="F48" s="92"/>
      <c r="G48" s="83" t="s">
        <v>75</v>
      </c>
      <c r="H48" s="92"/>
      <c r="I48" s="83" t="s">
        <v>52</v>
      </c>
      <c r="J48" s="92"/>
      <c r="K48" s="83" t="s">
        <v>62</v>
      </c>
      <c r="L48" s="66"/>
      <c r="M48" s="67" t="s">
        <v>30</v>
      </c>
      <c r="N48" s="66"/>
      <c r="O48" s="67" t="s">
        <v>30</v>
      </c>
      <c r="P48" s="35"/>
      <c r="Q48" s="22"/>
    </row>
    <row r="49" spans="2:21" s="23" customFormat="1" ht="17.5" customHeight="1" x14ac:dyDescent="0.45">
      <c r="B49" s="79"/>
      <c r="C49" s="93"/>
      <c r="D49" s="94"/>
      <c r="E49" s="93"/>
      <c r="F49" s="94"/>
      <c r="G49" s="95"/>
      <c r="H49" s="94"/>
      <c r="I49" s="95"/>
      <c r="J49" s="94"/>
      <c r="K49" s="87"/>
      <c r="L49" s="68"/>
      <c r="M49" s="69"/>
      <c r="N49" s="68"/>
      <c r="O49" s="69"/>
      <c r="P49" s="38"/>
      <c r="Q49" s="22"/>
    </row>
    <row r="50" spans="2:21" s="23" customFormat="1" ht="17.5" customHeight="1" x14ac:dyDescent="0.45">
      <c r="B50" s="79"/>
      <c r="C50" s="93" t="s">
        <v>39</v>
      </c>
      <c r="D50" s="94"/>
      <c r="E50" s="93" t="s">
        <v>39</v>
      </c>
      <c r="F50" s="94"/>
      <c r="G50" s="95" t="s">
        <v>39</v>
      </c>
      <c r="H50" s="94"/>
      <c r="I50" s="95" t="s">
        <v>39</v>
      </c>
      <c r="J50" s="94"/>
      <c r="K50" s="87" t="s">
        <v>39</v>
      </c>
      <c r="L50" s="68"/>
      <c r="M50" s="69" t="s">
        <v>30</v>
      </c>
      <c r="N50" s="68"/>
      <c r="O50" s="69" t="s">
        <v>30</v>
      </c>
      <c r="P50" s="38"/>
      <c r="Q50" s="22"/>
    </row>
    <row r="51" spans="2:21" s="23" customFormat="1" ht="17.5" customHeight="1" x14ac:dyDescent="0.45">
      <c r="B51" s="79"/>
      <c r="C51" s="93"/>
      <c r="D51" s="94"/>
      <c r="E51" s="93"/>
      <c r="F51" s="94"/>
      <c r="G51" s="95"/>
      <c r="H51" s="94"/>
      <c r="I51" s="95"/>
      <c r="J51" s="94"/>
      <c r="K51" s="87"/>
      <c r="L51" s="68"/>
      <c r="M51" s="69"/>
      <c r="N51" s="68"/>
      <c r="O51" s="69"/>
      <c r="P51" s="38"/>
      <c r="Q51" s="22"/>
    </row>
    <row r="52" spans="2:21" s="23" customFormat="1" ht="17.5" customHeight="1" x14ac:dyDescent="0.45">
      <c r="B52" s="79"/>
      <c r="C52" s="93" t="s">
        <v>40</v>
      </c>
      <c r="D52" s="94"/>
      <c r="E52" s="93" t="s">
        <v>48</v>
      </c>
      <c r="F52" s="94"/>
      <c r="G52" s="95" t="s">
        <v>76</v>
      </c>
      <c r="H52" s="94"/>
      <c r="I52" s="95" t="s">
        <v>40</v>
      </c>
      <c r="J52" s="94"/>
      <c r="K52" s="87" t="s">
        <v>47</v>
      </c>
      <c r="L52" s="68"/>
      <c r="M52" s="69" t="s">
        <v>30</v>
      </c>
      <c r="N52" s="68"/>
      <c r="O52" s="69" t="s">
        <v>30</v>
      </c>
      <c r="P52" s="38"/>
      <c r="Q52" s="22"/>
    </row>
    <row r="53" spans="2:21" s="23" customFormat="1" ht="17.5" customHeight="1" x14ac:dyDescent="0.45">
      <c r="B53" s="79"/>
      <c r="C53" s="93"/>
      <c r="D53" s="94"/>
      <c r="E53" s="93"/>
      <c r="F53" s="94"/>
      <c r="G53" s="95"/>
      <c r="H53" s="94"/>
      <c r="I53" s="95"/>
      <c r="J53" s="94"/>
      <c r="K53" s="87"/>
      <c r="L53" s="68"/>
      <c r="M53" s="69"/>
      <c r="N53" s="68"/>
      <c r="O53" s="69"/>
      <c r="P53" s="38"/>
      <c r="Q53" s="22"/>
    </row>
    <row r="54" spans="2:21" s="23" customFormat="1" ht="17.5" customHeight="1" x14ac:dyDescent="0.45">
      <c r="B54" s="79"/>
      <c r="C54" s="93" t="s">
        <v>63</v>
      </c>
      <c r="D54" s="94"/>
      <c r="E54" s="93" t="s">
        <v>41</v>
      </c>
      <c r="F54" s="94"/>
      <c r="G54" s="95" t="s">
        <v>68</v>
      </c>
      <c r="H54" s="94"/>
      <c r="I54" s="95" t="s">
        <v>54</v>
      </c>
      <c r="J54" s="94"/>
      <c r="K54" s="87" t="s">
        <v>41</v>
      </c>
      <c r="L54" s="68"/>
      <c r="M54" s="69" t="s">
        <v>30</v>
      </c>
      <c r="N54" s="68"/>
      <c r="O54" s="69" t="s">
        <v>30</v>
      </c>
      <c r="P54" s="38"/>
      <c r="Q54" s="22"/>
    </row>
    <row r="55" spans="2:21" s="23" customFormat="1" ht="17.5" customHeight="1" x14ac:dyDescent="0.45">
      <c r="B55" s="79"/>
      <c r="C55" s="93"/>
      <c r="D55" s="94"/>
      <c r="E55" s="93"/>
      <c r="F55" s="94"/>
      <c r="G55" s="95"/>
      <c r="H55" s="94"/>
      <c r="I55" s="95"/>
      <c r="J55" s="94"/>
      <c r="K55" s="87"/>
      <c r="L55" s="68"/>
      <c r="M55" s="69"/>
      <c r="N55" s="68"/>
      <c r="O55" s="69"/>
      <c r="P55" s="38"/>
      <c r="Q55" s="22"/>
    </row>
    <row r="56" spans="2:21" s="23" customFormat="1" ht="17.5" customHeight="1" x14ac:dyDescent="0.45">
      <c r="B56" s="79"/>
      <c r="C56" s="93" t="s">
        <v>58</v>
      </c>
      <c r="D56" s="94"/>
      <c r="E56" s="93" t="s">
        <v>42</v>
      </c>
      <c r="F56" s="94"/>
      <c r="G56" s="95" t="s">
        <v>42</v>
      </c>
      <c r="H56" s="94"/>
      <c r="I56" s="95" t="s">
        <v>61</v>
      </c>
      <c r="J56" s="94"/>
      <c r="K56" s="87" t="s">
        <v>42</v>
      </c>
      <c r="L56" s="68"/>
      <c r="M56" s="69" t="s">
        <v>30</v>
      </c>
      <c r="N56" s="68"/>
      <c r="O56" s="69" t="s">
        <v>30</v>
      </c>
      <c r="P56" s="38"/>
      <c r="Q56" s="22"/>
    </row>
    <row r="57" spans="2:21" s="23" customFormat="1" ht="17.5" customHeight="1" x14ac:dyDescent="0.45">
      <c r="B57" s="70"/>
      <c r="C57" s="96"/>
      <c r="D57" s="97"/>
      <c r="E57" s="96"/>
      <c r="F57" s="97"/>
      <c r="G57" s="98"/>
      <c r="H57" s="97"/>
      <c r="I57" s="98"/>
      <c r="J57" s="97"/>
      <c r="K57" s="74"/>
      <c r="L57" s="68"/>
      <c r="M57" s="69"/>
      <c r="N57" s="68"/>
      <c r="O57" s="69"/>
      <c r="P57" s="38"/>
      <c r="Q57" s="22"/>
    </row>
    <row r="58" spans="2:21" s="23" customFormat="1" ht="17.5" customHeight="1" x14ac:dyDescent="0.45">
      <c r="B58" s="70" t="s">
        <v>43</v>
      </c>
      <c r="C58" s="96" t="s">
        <v>73</v>
      </c>
      <c r="D58" s="97"/>
      <c r="E58" s="96" t="s">
        <v>74</v>
      </c>
      <c r="F58" s="97"/>
      <c r="G58" s="98" t="s">
        <v>59</v>
      </c>
      <c r="H58" s="97"/>
      <c r="I58" s="98" t="s">
        <v>70</v>
      </c>
      <c r="J58" s="97"/>
      <c r="K58" s="74" t="s">
        <v>51</v>
      </c>
      <c r="L58" s="38"/>
      <c r="M58" s="39"/>
      <c r="N58" s="38"/>
      <c r="O58" s="39"/>
      <c r="P58" s="38"/>
      <c r="Q58" s="22"/>
    </row>
    <row r="59" spans="2:21" s="23" customFormat="1" ht="17.5" customHeight="1" x14ac:dyDescent="0.45">
      <c r="B59" s="75"/>
      <c r="C59" s="99" t="s">
        <v>31</v>
      </c>
      <c r="D59" s="100"/>
      <c r="E59" s="99" t="s">
        <v>60</v>
      </c>
      <c r="F59" s="100"/>
      <c r="G59" s="89" t="s">
        <v>57</v>
      </c>
      <c r="H59" s="100"/>
      <c r="I59" s="89" t="s">
        <v>31</v>
      </c>
      <c r="J59" s="100"/>
      <c r="K59" s="89" t="s">
        <v>31</v>
      </c>
      <c r="L59" s="41"/>
      <c r="M59" s="42"/>
      <c r="N59" s="41"/>
      <c r="O59" s="42"/>
      <c r="P59" s="41"/>
      <c r="Q59" s="22"/>
    </row>
    <row r="60" spans="2:21" s="51" customFormat="1" ht="18" customHeight="1" x14ac:dyDescent="0.3">
      <c r="B60" s="90"/>
      <c r="C60" s="55">
        <f>IF(DAY(OctSun1)=1,IF(AND(YEAR(OctSun1+22)=CalendarYear,MONTH(OctSun1+22)=10),OctSun1+22,""),IF(AND(YEAR(OctSun1+29)=CalendarYear,MONTH(OctSun1+29)=10),OctSun1+29,""))</f>
        <v>44494</v>
      </c>
      <c r="D60" s="61" t="s">
        <v>29</v>
      </c>
      <c r="E60" s="55">
        <f>IF(DAY(OctSun1)=1,IF(AND(YEAR(OctSun1+23)=CalendarYear,MONTH(OctSun1+23)=10),OctSun1+23,""),IF(AND(YEAR(OctSun1+30)=CalendarYear,MONTH(OctSun1+30)=10),OctSun1+30,""))</f>
        <v>44495</v>
      </c>
      <c r="F60" s="61" t="s">
        <v>29</v>
      </c>
      <c r="G60" s="56">
        <f>IF(DAY(OctSun1)=1,IF(AND(YEAR(OctSun1+24)=CalendarYear,MONTH(OctSun1+24)=10),OctSun1+24,""),IF(AND(YEAR(OctSun1+31)=CalendarYear,MONTH(OctSun1+31)=10),OctSun1+31,""))</f>
        <v>44496</v>
      </c>
      <c r="H60" s="61" t="s">
        <v>29</v>
      </c>
      <c r="I60" s="56">
        <f>IF(DAY(OctSun1)=1,IF(AND(YEAR(OctSun1+25)=CalendarYear,MONTH(OctSun1+25)=10),OctSun1+25,""),IF(AND(YEAR(OctSun1+32)=CalendarYear,MONTH(OctSun1+32)=10),OctSun1+32,""))</f>
        <v>44497</v>
      </c>
      <c r="J60" s="61" t="s">
        <v>29</v>
      </c>
      <c r="K60" s="56">
        <f>IF(DAY(OctSun1)=1,IF(AND(YEAR(OctSun1+26)=CalendarYear,MONTH(OctSun1+26)=10),OctSun1+26,""),IF(AND(YEAR(OctSun1+33)=CalendarYear,MONTH(OctSun1+33)=10),OctSun1+33,""))</f>
        <v>44498</v>
      </c>
      <c r="L60" s="61" t="s">
        <v>29</v>
      </c>
      <c r="M60" s="56">
        <f>IF(DAY(OctSun1)=1,IF(AND(YEAR(OctSun1+27)=CalendarYear,MONTH(OctSun1+27)=10),OctSun1+27,""),IF(AND(YEAR(OctSun1+34)=CalendarYear,MONTH(OctSun1+34)=10),OctSun1+34,""))</f>
        <v>44499</v>
      </c>
      <c r="N60" s="61" t="s">
        <v>29</v>
      </c>
      <c r="O60" s="56">
        <f>IF(DAY(OctSun1)=1,IF(AND(YEAR(OctSun1+28)=CalendarYear,MONTH(OctSun1+28)=10),OctSun1+28,""),IF(AND(YEAR(OctSun1+35)=CalendarYear,MONTH(OctSun1+35)=10),OctSun1+35,""))</f>
        <v>44500</v>
      </c>
      <c r="P60" s="61" t="s">
        <v>29</v>
      </c>
      <c r="Q60" s="47"/>
      <c r="T60" s="53"/>
      <c r="U60" s="54"/>
    </row>
    <row r="61" spans="2:21" s="23" customFormat="1" ht="17.5" customHeight="1" x14ac:dyDescent="0.45">
      <c r="B61" s="79" t="s">
        <v>37</v>
      </c>
      <c r="C61" s="91" t="s">
        <v>77</v>
      </c>
      <c r="D61" s="92"/>
      <c r="E61" s="91" t="s">
        <v>65</v>
      </c>
      <c r="F61" s="92"/>
      <c r="G61" s="83" t="s">
        <v>38</v>
      </c>
      <c r="H61" s="92"/>
      <c r="I61" s="83" t="s">
        <v>32</v>
      </c>
      <c r="J61" s="92"/>
      <c r="K61" s="83" t="s">
        <v>75</v>
      </c>
      <c r="L61" s="63"/>
      <c r="M61" s="62" t="s">
        <v>30</v>
      </c>
      <c r="N61" s="63"/>
      <c r="O61" s="62" t="s">
        <v>30</v>
      </c>
      <c r="P61" s="26"/>
      <c r="Q61" s="22"/>
    </row>
    <row r="62" spans="2:21" s="23" customFormat="1" ht="17.5" customHeight="1" x14ac:dyDescent="0.45">
      <c r="B62" s="79"/>
      <c r="C62" s="93"/>
      <c r="D62" s="94"/>
      <c r="E62" s="93"/>
      <c r="F62" s="94"/>
      <c r="G62" s="95"/>
      <c r="H62" s="94"/>
      <c r="I62" s="95"/>
      <c r="J62" s="94"/>
      <c r="K62" s="87"/>
      <c r="L62" s="65"/>
      <c r="M62" s="64"/>
      <c r="N62" s="65"/>
      <c r="O62" s="64"/>
      <c r="P62" s="29"/>
      <c r="Q62" s="22"/>
    </row>
    <row r="63" spans="2:21" s="23" customFormat="1" ht="17.5" customHeight="1" x14ac:dyDescent="0.45">
      <c r="B63" s="79"/>
      <c r="C63" s="93" t="s">
        <v>46</v>
      </c>
      <c r="D63" s="94"/>
      <c r="E63" s="93" t="s">
        <v>46</v>
      </c>
      <c r="F63" s="94"/>
      <c r="G63" s="95" t="s">
        <v>78</v>
      </c>
      <c r="H63" s="94"/>
      <c r="I63" s="95" t="s">
        <v>66</v>
      </c>
      <c r="J63" s="94"/>
      <c r="K63" s="87" t="s">
        <v>46</v>
      </c>
      <c r="L63" s="65"/>
      <c r="M63" s="64" t="s">
        <v>30</v>
      </c>
      <c r="N63" s="65"/>
      <c r="O63" s="64" t="s">
        <v>30</v>
      </c>
      <c r="P63" s="29"/>
      <c r="Q63" s="22"/>
    </row>
    <row r="64" spans="2:21" s="23" customFormat="1" ht="17.5" customHeight="1" x14ac:dyDescent="0.45">
      <c r="B64" s="79"/>
      <c r="C64" s="93"/>
      <c r="D64" s="94"/>
      <c r="E64" s="93"/>
      <c r="F64" s="94"/>
      <c r="G64" s="95"/>
      <c r="H64" s="94"/>
      <c r="I64" s="95"/>
      <c r="J64" s="94"/>
      <c r="K64" s="87"/>
      <c r="L64" s="65"/>
      <c r="M64" s="64"/>
      <c r="N64" s="65"/>
      <c r="O64" s="64"/>
      <c r="P64" s="29"/>
      <c r="Q64" s="22"/>
    </row>
    <row r="65" spans="1:21" s="23" customFormat="1" ht="17.5" customHeight="1" x14ac:dyDescent="0.45">
      <c r="B65" s="79"/>
      <c r="C65" s="93" t="s">
        <v>47</v>
      </c>
      <c r="D65" s="94"/>
      <c r="E65" s="93" t="s">
        <v>40</v>
      </c>
      <c r="F65" s="94"/>
      <c r="G65" s="95" t="s">
        <v>47</v>
      </c>
      <c r="H65" s="94"/>
      <c r="I65" s="95" t="s">
        <v>53</v>
      </c>
      <c r="J65" s="94"/>
      <c r="K65" s="87" t="s">
        <v>48</v>
      </c>
      <c r="L65" s="65"/>
      <c r="M65" s="64" t="s">
        <v>30</v>
      </c>
      <c r="N65" s="65"/>
      <c r="O65" s="64" t="s">
        <v>30</v>
      </c>
      <c r="P65" s="29"/>
      <c r="Q65" s="22"/>
    </row>
    <row r="66" spans="1:21" s="23" customFormat="1" ht="17.5" customHeight="1" x14ac:dyDescent="0.45">
      <c r="B66" s="79"/>
      <c r="C66" s="93"/>
      <c r="D66" s="94"/>
      <c r="E66" s="93"/>
      <c r="F66" s="94"/>
      <c r="G66" s="95"/>
      <c r="H66" s="94"/>
      <c r="I66" s="95"/>
      <c r="J66" s="94"/>
      <c r="K66" s="87"/>
      <c r="L66" s="65"/>
      <c r="M66" s="64"/>
      <c r="N66" s="65"/>
      <c r="O66" s="64"/>
      <c r="P66" s="29"/>
      <c r="Q66" s="22"/>
    </row>
    <row r="67" spans="1:21" s="23" customFormat="1" ht="17.5" customHeight="1" x14ac:dyDescent="0.45">
      <c r="B67" s="79"/>
      <c r="C67" s="93" t="s">
        <v>54</v>
      </c>
      <c r="D67" s="94"/>
      <c r="E67" s="93" t="s">
        <v>48</v>
      </c>
      <c r="F67" s="94"/>
      <c r="G67" s="95" t="s">
        <v>79</v>
      </c>
      <c r="H67" s="94"/>
      <c r="I67" s="95" t="s">
        <v>54</v>
      </c>
      <c r="J67" s="94"/>
      <c r="K67" s="87" t="s">
        <v>40</v>
      </c>
      <c r="L67" s="65"/>
      <c r="M67" s="64" t="s">
        <v>30</v>
      </c>
      <c r="N67" s="65"/>
      <c r="O67" s="64" t="s">
        <v>30</v>
      </c>
      <c r="P67" s="29"/>
      <c r="Q67" s="22"/>
    </row>
    <row r="68" spans="1:21" s="23" customFormat="1" ht="17.5" customHeight="1" x14ac:dyDescent="0.45">
      <c r="B68" s="79"/>
      <c r="C68" s="93"/>
      <c r="D68" s="94"/>
      <c r="E68" s="93"/>
      <c r="F68" s="94"/>
      <c r="G68" s="95"/>
      <c r="H68" s="94"/>
      <c r="I68" s="95"/>
      <c r="J68" s="94"/>
      <c r="K68" s="87"/>
      <c r="L68" s="65"/>
      <c r="M68" s="64"/>
      <c r="N68" s="65"/>
      <c r="O68" s="64"/>
      <c r="P68" s="29"/>
      <c r="Q68" s="22"/>
    </row>
    <row r="69" spans="1:21" s="23" customFormat="1" ht="17.5" customHeight="1" x14ac:dyDescent="0.45">
      <c r="B69" s="79"/>
      <c r="C69" s="93" t="s">
        <v>42</v>
      </c>
      <c r="D69" s="94"/>
      <c r="E69" s="93" t="s">
        <v>61</v>
      </c>
      <c r="F69" s="94"/>
      <c r="G69" s="95" t="s">
        <v>42</v>
      </c>
      <c r="H69" s="94"/>
      <c r="I69" s="95" t="s">
        <v>57</v>
      </c>
      <c r="J69" s="94"/>
      <c r="K69" s="87" t="s">
        <v>42</v>
      </c>
      <c r="L69" s="65"/>
      <c r="M69" s="64" t="s">
        <v>30</v>
      </c>
      <c r="N69" s="65"/>
      <c r="O69" s="64" t="s">
        <v>30</v>
      </c>
      <c r="P69" s="29"/>
      <c r="Q69" s="22"/>
    </row>
    <row r="70" spans="1:21" s="23" customFormat="1" ht="17.5" customHeight="1" x14ac:dyDescent="0.45">
      <c r="B70" s="70"/>
      <c r="C70" s="96"/>
      <c r="D70" s="97"/>
      <c r="E70" s="96"/>
      <c r="F70" s="97"/>
      <c r="G70" s="98"/>
      <c r="H70" s="97"/>
      <c r="I70" s="98"/>
      <c r="J70" s="97"/>
      <c r="K70" s="74"/>
      <c r="L70" s="65"/>
      <c r="M70" s="64"/>
      <c r="N70" s="65"/>
      <c r="O70" s="64"/>
      <c r="P70" s="29"/>
      <c r="Q70" s="22"/>
    </row>
    <row r="71" spans="1:21" s="23" customFormat="1" ht="17.5" customHeight="1" x14ac:dyDescent="0.45">
      <c r="B71" s="70" t="s">
        <v>43</v>
      </c>
      <c r="C71" s="96" t="s">
        <v>59</v>
      </c>
      <c r="D71" s="97"/>
      <c r="E71" s="96" t="s">
        <v>44</v>
      </c>
      <c r="F71" s="97"/>
      <c r="G71" s="98" t="s">
        <v>73</v>
      </c>
      <c r="H71" s="97"/>
      <c r="I71" s="98" t="s">
        <v>51</v>
      </c>
      <c r="J71" s="97"/>
      <c r="K71" s="74" t="s">
        <v>80</v>
      </c>
      <c r="L71" s="65"/>
      <c r="M71" s="64"/>
      <c r="N71" s="65"/>
      <c r="O71" s="64"/>
      <c r="P71" s="29"/>
      <c r="Q71" s="22"/>
    </row>
    <row r="72" spans="1:21" s="23" customFormat="1" ht="17.5" customHeight="1" x14ac:dyDescent="0.45">
      <c r="B72" s="75"/>
      <c r="C72" s="99" t="s">
        <v>60</v>
      </c>
      <c r="D72" s="100"/>
      <c r="E72" s="99" t="s">
        <v>34</v>
      </c>
      <c r="F72" s="100"/>
      <c r="G72" s="89" t="s">
        <v>31</v>
      </c>
      <c r="H72" s="100"/>
      <c r="I72" s="89" t="s">
        <v>31</v>
      </c>
      <c r="J72" s="100"/>
      <c r="K72" s="89" t="s">
        <v>34</v>
      </c>
      <c r="L72" s="32"/>
      <c r="M72" s="33"/>
      <c r="N72" s="32"/>
      <c r="O72" s="33"/>
      <c r="P72" s="32"/>
      <c r="Q72" s="22"/>
    </row>
    <row r="73" spans="1:21" s="21" customFormat="1" ht="18" customHeight="1" x14ac:dyDescent="0.3">
      <c r="A73" s="51"/>
      <c r="B73" s="90"/>
      <c r="C73" s="55" t="str">
        <f>IF(DAY(OctSun1)=1,IF(AND(YEAR(OctSun1+29)=CalendarYear,MONTH(OctSun1+29)=10),OctSun1+29,""),IF(AND(YEAR(OctSun1+36)=CalendarYear,MONTH(OctSun1+36)=10),OctSun1+36,""))</f>
        <v/>
      </c>
      <c r="D73" s="61" t="s">
        <v>29</v>
      </c>
      <c r="E73" s="55" t="str">
        <f>IF(DAY(OctSun1)=1,IF(AND(YEAR(OctSun1+30)=CalendarYear,MONTH(OctSun1+30)=10),OctSun1+30,""),IF(AND(YEAR(OctSun1+37)=CalendarYear,MONTH(OctSun1+37)=10),OctSun1+37,""))</f>
        <v/>
      </c>
      <c r="F73" s="61" t="s">
        <v>29</v>
      </c>
      <c r="G73" s="56" t="s">
        <v>14</v>
      </c>
      <c r="H73" s="57"/>
      <c r="I73" s="58"/>
      <c r="J73" s="57"/>
      <c r="K73" s="58"/>
      <c r="L73" s="57"/>
      <c r="M73" s="58"/>
      <c r="N73" s="57"/>
      <c r="O73" s="58"/>
      <c r="P73" s="57"/>
      <c r="Q73" s="22"/>
      <c r="T73" s="23"/>
      <c r="U73" s="24"/>
    </row>
    <row r="74" spans="1:21" s="23" customFormat="1" ht="17.5" customHeight="1" x14ac:dyDescent="0.45">
      <c r="B74" s="50"/>
      <c r="C74" s="34"/>
      <c r="D74" s="35"/>
      <c r="E74" s="34"/>
      <c r="F74" s="35"/>
      <c r="G74" s="175" t="s">
        <v>36</v>
      </c>
      <c r="H74" s="176"/>
      <c r="I74" s="176"/>
      <c r="J74" s="176"/>
      <c r="K74" s="176"/>
      <c r="L74" s="176"/>
      <c r="M74" s="176"/>
      <c r="N74" s="176"/>
      <c r="O74" s="176"/>
      <c r="P74" s="177"/>
      <c r="Q74" s="22"/>
    </row>
    <row r="75" spans="1:21" s="23" customFormat="1" ht="17.5" customHeight="1" x14ac:dyDescent="0.45">
      <c r="B75" s="50"/>
      <c r="C75" s="37"/>
      <c r="D75" s="38"/>
      <c r="E75" s="37"/>
      <c r="F75" s="38"/>
      <c r="G75" s="178"/>
      <c r="H75" s="179"/>
      <c r="I75" s="179"/>
      <c r="J75" s="179"/>
      <c r="K75" s="179"/>
      <c r="L75" s="179"/>
      <c r="M75" s="179"/>
      <c r="N75" s="179"/>
      <c r="O75" s="179"/>
      <c r="P75" s="180"/>
      <c r="Q75" s="22"/>
    </row>
    <row r="76" spans="1:21" s="23" customFormat="1" ht="17.5" customHeight="1" x14ac:dyDescent="0.45">
      <c r="B76" s="50"/>
      <c r="C76" s="37"/>
      <c r="D76" s="38"/>
      <c r="E76" s="37"/>
      <c r="F76" s="38"/>
      <c r="G76" s="178"/>
      <c r="H76" s="179"/>
      <c r="I76" s="179"/>
      <c r="J76" s="179"/>
      <c r="K76" s="179"/>
      <c r="L76" s="179"/>
      <c r="M76" s="179"/>
      <c r="N76" s="179"/>
      <c r="O76" s="179"/>
      <c r="P76" s="180"/>
      <c r="Q76" s="22"/>
    </row>
    <row r="77" spans="1:21" s="23" customFormat="1" ht="17.5" customHeight="1" x14ac:dyDescent="0.45">
      <c r="B77" s="50"/>
      <c r="C77" s="37"/>
      <c r="D77" s="38"/>
      <c r="E77" s="37"/>
      <c r="F77" s="38"/>
      <c r="G77" s="178"/>
      <c r="H77" s="179"/>
      <c r="I77" s="179"/>
      <c r="J77" s="179"/>
      <c r="K77" s="179"/>
      <c r="L77" s="179"/>
      <c r="M77" s="179"/>
      <c r="N77" s="179"/>
      <c r="O77" s="179"/>
      <c r="P77" s="180"/>
      <c r="Q77" s="22"/>
    </row>
    <row r="78" spans="1:21" s="23" customFormat="1" ht="17.5" customHeight="1" x14ac:dyDescent="0.45">
      <c r="B78" s="50"/>
      <c r="C78" s="37"/>
      <c r="D78" s="38"/>
      <c r="E78" s="37"/>
      <c r="F78" s="38"/>
      <c r="G78" s="178"/>
      <c r="H78" s="179"/>
      <c r="I78" s="179"/>
      <c r="J78" s="179"/>
      <c r="K78" s="179"/>
      <c r="L78" s="179"/>
      <c r="M78" s="179"/>
      <c r="N78" s="179"/>
      <c r="O78" s="179"/>
      <c r="P78" s="180"/>
      <c r="Q78" s="22"/>
    </row>
    <row r="79" spans="1:21" s="23" customFormat="1" ht="17.5" customHeight="1" x14ac:dyDescent="0.45">
      <c r="B79" s="50"/>
      <c r="C79" s="37"/>
      <c r="D79" s="38"/>
      <c r="E79" s="37"/>
      <c r="F79" s="38"/>
      <c r="G79" s="178"/>
      <c r="H79" s="179"/>
      <c r="I79" s="179"/>
      <c r="J79" s="179"/>
      <c r="K79" s="179"/>
      <c r="L79" s="179"/>
      <c r="M79" s="179"/>
      <c r="N79" s="179"/>
      <c r="O79" s="179"/>
      <c r="P79" s="180"/>
      <c r="Q79" s="22"/>
    </row>
    <row r="80" spans="1:21" s="23" customFormat="1" ht="17.5" customHeight="1" x14ac:dyDescent="0.45">
      <c r="B80" s="50"/>
      <c r="C80" s="37"/>
      <c r="D80" s="38"/>
      <c r="E80" s="37"/>
      <c r="F80" s="38"/>
      <c r="G80" s="178"/>
      <c r="H80" s="179"/>
      <c r="I80" s="179"/>
      <c r="J80" s="179"/>
      <c r="K80" s="179"/>
      <c r="L80" s="179"/>
      <c r="M80" s="179"/>
      <c r="N80" s="179"/>
      <c r="O80" s="179"/>
      <c r="P80" s="180"/>
      <c r="Q80" s="22"/>
    </row>
    <row r="81" spans="1:17" s="23" customFormat="1" ht="17.5" customHeight="1" x14ac:dyDescent="0.45">
      <c r="B81" s="50"/>
      <c r="C81" s="37"/>
      <c r="D81" s="38"/>
      <c r="E81" s="37"/>
      <c r="F81" s="38"/>
      <c r="G81" s="178"/>
      <c r="H81" s="179"/>
      <c r="I81" s="179"/>
      <c r="J81" s="179"/>
      <c r="K81" s="179"/>
      <c r="L81" s="179"/>
      <c r="M81" s="179"/>
      <c r="N81" s="179"/>
      <c r="O81" s="179"/>
      <c r="P81" s="180"/>
      <c r="Q81" s="22"/>
    </row>
    <row r="82" spans="1:17" s="23" customFormat="1" ht="17.5" customHeight="1" x14ac:dyDescent="0.45">
      <c r="B82" s="50"/>
      <c r="C82" s="37"/>
      <c r="D82" s="38"/>
      <c r="E82" s="37"/>
      <c r="F82" s="38"/>
      <c r="G82" s="178"/>
      <c r="H82" s="179"/>
      <c r="I82" s="179"/>
      <c r="J82" s="179"/>
      <c r="K82" s="179"/>
      <c r="L82" s="179"/>
      <c r="M82" s="179"/>
      <c r="N82" s="179"/>
      <c r="O82" s="179"/>
      <c r="P82" s="180"/>
      <c r="Q82" s="22"/>
    </row>
    <row r="83" spans="1:17" s="23" customFormat="1" ht="17.5" customHeight="1" x14ac:dyDescent="0.45">
      <c r="B83" s="50"/>
      <c r="C83" s="37"/>
      <c r="D83" s="38"/>
      <c r="E83" s="37"/>
      <c r="F83" s="38"/>
      <c r="G83" s="178"/>
      <c r="H83" s="179"/>
      <c r="I83" s="179"/>
      <c r="J83" s="179"/>
      <c r="K83" s="179"/>
      <c r="L83" s="179"/>
      <c r="M83" s="179"/>
      <c r="N83" s="179"/>
      <c r="O83" s="179"/>
      <c r="P83" s="180"/>
      <c r="Q83" s="22"/>
    </row>
    <row r="84" spans="1:17" s="23" customFormat="1" ht="17.5" customHeight="1" x14ac:dyDescent="0.35">
      <c r="B84" s="48"/>
      <c r="C84" s="37"/>
      <c r="D84" s="38"/>
      <c r="E84" s="37"/>
      <c r="F84" s="38"/>
      <c r="G84" s="178"/>
      <c r="H84" s="179"/>
      <c r="I84" s="179"/>
      <c r="J84" s="179"/>
      <c r="K84" s="179"/>
      <c r="L84" s="179"/>
      <c r="M84" s="179"/>
      <c r="N84" s="179"/>
      <c r="O84" s="179"/>
      <c r="P84" s="180"/>
      <c r="Q84" s="22"/>
    </row>
    <row r="85" spans="1:17" s="23" customFormat="1" ht="17.5" customHeight="1" x14ac:dyDescent="0.35">
      <c r="B85" s="49"/>
      <c r="C85" s="40"/>
      <c r="D85" s="41"/>
      <c r="E85" s="40"/>
      <c r="F85" s="41"/>
      <c r="G85" s="181"/>
      <c r="H85" s="182"/>
      <c r="I85" s="182"/>
      <c r="J85" s="182"/>
      <c r="K85" s="182"/>
      <c r="L85" s="182"/>
      <c r="M85" s="182"/>
      <c r="N85" s="182"/>
      <c r="O85" s="182"/>
      <c r="P85" s="183"/>
      <c r="Q85" s="22"/>
    </row>
    <row r="86" spans="1:17" ht="22.75" customHeight="1" x14ac:dyDescent="0.3">
      <c r="B86" s="159" t="s">
        <v>27</v>
      </c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</row>
    <row r="87" spans="1:17" ht="22.75" customHeight="1" x14ac:dyDescent="0.3">
      <c r="A87" s="2"/>
      <c r="B87" s="158" t="s">
        <v>28</v>
      </c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</row>
    <row r="88" spans="1:17" x14ac:dyDescent="0.3">
      <c r="A88" s="2"/>
    </row>
    <row r="89" spans="1:17" x14ac:dyDescent="0.3">
      <c r="A89" s="2"/>
    </row>
    <row r="90" spans="1:17" ht="21" customHeight="1" x14ac:dyDescent="0.3">
      <c r="A90" s="2"/>
      <c r="E90" s="5"/>
      <c r="F90" s="17"/>
      <c r="G90" s="4"/>
      <c r="H90" s="18"/>
      <c r="I90" s="3"/>
      <c r="J90" s="19"/>
    </row>
    <row r="91" spans="1:17" ht="19.5" customHeight="1" x14ac:dyDescent="0.3">
      <c r="A91" s="2"/>
    </row>
    <row r="92" spans="1:17" ht="15" x14ac:dyDescent="0.3">
      <c r="A92"/>
    </row>
    <row r="93" spans="1:17" x14ac:dyDescent="0.3">
      <c r="A93" s="2"/>
    </row>
    <row r="94" spans="1:17" x14ac:dyDescent="0.3">
      <c r="A94" s="2"/>
    </row>
    <row r="95" spans="1:17" x14ac:dyDescent="0.3">
      <c r="A95" s="2"/>
    </row>
    <row r="96" spans="1:17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ht="15" x14ac:dyDescent="0.3">
      <c r="A105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ht="15" x14ac:dyDescent="0.3">
      <c r="A118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ht="15" x14ac:dyDescent="0.3">
      <c r="A131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4" spans="1:1" ht="15" x14ac:dyDescent="0.3">
      <c r="A144"/>
    </row>
    <row r="145" spans="1:1" x14ac:dyDescent="0.3">
      <c r="A145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x14ac:dyDescent="0.3">
      <c r="A150" s="2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ht="15" x14ac:dyDescent="0.3">
      <c r="A163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x14ac:dyDescent="0.3">
      <c r="A174" s="2"/>
    </row>
    <row r="175" spans="1:1" x14ac:dyDescent="0.3">
      <c r="A175" s="2"/>
    </row>
    <row r="176" spans="1:1" ht="15" x14ac:dyDescent="0.3">
      <c r="A176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ht="15" x14ac:dyDescent="0.3">
      <c r="A189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ht="15" x14ac:dyDescent="0.3">
      <c r="A20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x14ac:dyDescent="0.3">
      <c r="A213" s="2"/>
    </row>
    <row r="214" spans="1:1" x14ac:dyDescent="0.3">
      <c r="A214" s="2"/>
    </row>
    <row r="215" spans="1:1" ht="15" x14ac:dyDescent="0.3">
      <c r="A215"/>
    </row>
    <row r="216" spans="1:1" x14ac:dyDescent="0.3">
      <c r="A216" s="2"/>
    </row>
    <row r="217" spans="1:1" x14ac:dyDescent="0.3">
      <c r="A217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x14ac:dyDescent="0.3">
      <c r="A225" s="2"/>
    </row>
    <row r="226" spans="1:1" x14ac:dyDescent="0.3">
      <c r="A226" s="2"/>
    </row>
    <row r="227" spans="1:1" x14ac:dyDescent="0.3">
      <c r="A227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ht="15" x14ac:dyDescent="0.3">
      <c r="A238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ht="15" x14ac:dyDescent="0.3">
      <c r="A251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ht="15" x14ac:dyDescent="0.3">
      <c r="A264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  <row r="269" spans="1:1" x14ac:dyDescent="0.3">
      <c r="A269" s="2"/>
    </row>
    <row r="270" spans="1:1" x14ac:dyDescent="0.3">
      <c r="A270" s="2"/>
    </row>
    <row r="271" spans="1:1" x14ac:dyDescent="0.3">
      <c r="A271" s="2"/>
    </row>
    <row r="272" spans="1:1" x14ac:dyDescent="0.3">
      <c r="A272" s="2"/>
    </row>
    <row r="273" spans="1:1" x14ac:dyDescent="0.3">
      <c r="A273" s="2"/>
    </row>
    <row r="274" spans="1:1" x14ac:dyDescent="0.3">
      <c r="A274" s="2"/>
    </row>
    <row r="275" spans="1:1" x14ac:dyDescent="0.3">
      <c r="A275" s="2"/>
    </row>
    <row r="276" spans="1:1" x14ac:dyDescent="0.3">
      <c r="A276" s="2"/>
    </row>
    <row r="277" spans="1:1" ht="15" x14ac:dyDescent="0.3">
      <c r="A277"/>
    </row>
    <row r="278" spans="1:1" x14ac:dyDescent="0.3">
      <c r="A278" s="2"/>
    </row>
    <row r="279" spans="1:1" x14ac:dyDescent="0.3">
      <c r="A279" s="2"/>
    </row>
    <row r="280" spans="1:1" x14ac:dyDescent="0.3">
      <c r="A280" s="2"/>
    </row>
    <row r="281" spans="1:1" x14ac:dyDescent="0.3">
      <c r="A281" s="2"/>
    </row>
    <row r="282" spans="1:1" x14ac:dyDescent="0.3">
      <c r="A282" s="2"/>
    </row>
    <row r="283" spans="1:1" x14ac:dyDescent="0.3">
      <c r="A283" s="2"/>
    </row>
    <row r="284" spans="1:1" x14ac:dyDescent="0.3">
      <c r="A284" s="2"/>
    </row>
    <row r="285" spans="1:1" x14ac:dyDescent="0.3">
      <c r="A285" s="2"/>
    </row>
    <row r="286" spans="1:1" x14ac:dyDescent="0.3">
      <c r="A286" s="2"/>
    </row>
    <row r="287" spans="1:1" x14ac:dyDescent="0.3">
      <c r="A287" s="2"/>
    </row>
    <row r="288" spans="1:1" x14ac:dyDescent="0.3">
      <c r="A288" s="2"/>
    </row>
    <row r="289" spans="1:1" x14ac:dyDescent="0.3">
      <c r="A289" s="2"/>
    </row>
    <row r="290" spans="1:1" ht="15" x14ac:dyDescent="0.3">
      <c r="A290"/>
    </row>
    <row r="291" spans="1:1" x14ac:dyDescent="0.3">
      <c r="A291" s="2"/>
    </row>
    <row r="292" spans="1:1" x14ac:dyDescent="0.3">
      <c r="A292" s="2"/>
    </row>
    <row r="293" spans="1:1" x14ac:dyDescent="0.3">
      <c r="A293" s="2"/>
    </row>
    <row r="294" spans="1:1" x14ac:dyDescent="0.3">
      <c r="A294" s="2"/>
    </row>
    <row r="295" spans="1:1" x14ac:dyDescent="0.3">
      <c r="A295" s="2"/>
    </row>
    <row r="296" spans="1:1" x14ac:dyDescent="0.3">
      <c r="A296" s="2"/>
    </row>
    <row r="297" spans="1:1" x14ac:dyDescent="0.3">
      <c r="A297" s="2"/>
    </row>
    <row r="298" spans="1:1" x14ac:dyDescent="0.3">
      <c r="A298" s="2"/>
    </row>
    <row r="299" spans="1:1" x14ac:dyDescent="0.3">
      <c r="A299" s="2"/>
    </row>
    <row r="300" spans="1:1" x14ac:dyDescent="0.3">
      <c r="A300" s="2"/>
    </row>
    <row r="301" spans="1:1" x14ac:dyDescent="0.3">
      <c r="A301" s="2"/>
    </row>
    <row r="302" spans="1:1" x14ac:dyDescent="0.3">
      <c r="A302" s="2"/>
    </row>
  </sheetData>
  <mergeCells count="7">
    <mergeCell ref="BK4:BN5"/>
    <mergeCell ref="CB6:CC6"/>
    <mergeCell ref="B86:P86"/>
    <mergeCell ref="B87:P87"/>
    <mergeCell ref="G74:P85"/>
    <mergeCell ref="B4:C5"/>
    <mergeCell ref="G6:H6"/>
  </mergeCells>
  <printOptions horizontalCentered="1" verticalCentered="1"/>
  <pageMargins left="0.2" right="0.2" top="0.25" bottom="0.25" header="0" footer="0"/>
  <pageSetup scale="35" orientation="landscape" r:id="rId1"/>
  <headerFooter scaleWithDoc="0"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theme="0" tint="-0.499984740745262"/>
    <pageSetUpPr fitToPage="1"/>
  </sheetPr>
  <dimension ref="A1:CJ302"/>
  <sheetViews>
    <sheetView showGridLines="0" topLeftCell="A31" zoomScale="50" zoomScaleNormal="50" workbookViewId="0">
      <selection activeCell="I55" sqref="I55"/>
    </sheetView>
  </sheetViews>
  <sheetFormatPr defaultColWidth="6.69140625" defaultRowHeight="20" x14ac:dyDescent="0.4"/>
  <cols>
    <col min="1" max="1" width="5.53515625" style="101" customWidth="1"/>
    <col min="2" max="2" width="18.07421875" style="101" bestFit="1" customWidth="1"/>
    <col min="3" max="3" width="24.23046875" style="101" customWidth="1"/>
    <col min="4" max="4" width="7.4609375" style="102" customWidth="1"/>
    <col min="5" max="5" width="27.69140625" style="101" customWidth="1"/>
    <col min="6" max="6" width="7.4609375" style="102" customWidth="1"/>
    <col min="7" max="7" width="27.765625" style="101" customWidth="1"/>
    <col min="8" max="8" width="7.4609375" style="102" customWidth="1"/>
    <col min="9" max="9" width="26.69140625" style="101" customWidth="1"/>
    <col min="10" max="10" width="7.4609375" style="102" customWidth="1"/>
    <col min="11" max="11" width="29.3046875" style="101" customWidth="1"/>
    <col min="12" max="12" width="7.4609375" style="102" customWidth="1"/>
    <col min="13" max="13" width="24.23046875" style="101" customWidth="1"/>
    <col min="14" max="14" width="7.4609375" style="102" customWidth="1"/>
    <col min="15" max="15" width="24.23046875" style="101" customWidth="1"/>
    <col min="16" max="16" width="7.4609375" style="102" customWidth="1"/>
    <col min="17" max="17" width="13.3046875" style="101" customWidth="1"/>
    <col min="18" max="18" width="31.3046875" style="101" customWidth="1"/>
    <col min="19" max="19" width="11.84375" style="101" customWidth="1"/>
    <col min="20" max="20" width="11.3046875" style="101" customWidth="1"/>
    <col min="21" max="16384" width="6.69140625" style="101"/>
  </cols>
  <sheetData>
    <row r="1" spans="1:88" ht="49.75" customHeight="1" x14ac:dyDescent="0.4">
      <c r="R1" s="103"/>
      <c r="S1" s="103"/>
    </row>
    <row r="2" spans="1:88" ht="13.75" customHeight="1" x14ac:dyDescent="0.4">
      <c r="R2" s="103"/>
      <c r="S2" s="103"/>
    </row>
    <row r="3" spans="1:88" ht="19.399999999999999" customHeight="1" x14ac:dyDescent="0.4">
      <c r="B3" s="104"/>
      <c r="R3" s="103"/>
      <c r="S3" s="103"/>
      <c r="BB3" s="104"/>
      <c r="BC3" s="104"/>
      <c r="BD3" s="104"/>
    </row>
    <row r="4" spans="1:88" ht="43.75" customHeight="1" x14ac:dyDescent="0.4">
      <c r="B4" s="197"/>
      <c r="C4" s="197"/>
      <c r="R4" s="103"/>
      <c r="S4" s="103"/>
      <c r="BB4" s="104"/>
      <c r="BC4" s="104"/>
      <c r="BD4" s="104"/>
      <c r="BK4" s="184"/>
      <c r="BL4" s="184"/>
      <c r="BM4" s="184"/>
      <c r="BN4" s="184"/>
      <c r="CH4" s="105"/>
    </row>
    <row r="5" spans="1:88" ht="30" customHeight="1" x14ac:dyDescent="0.4">
      <c r="B5" s="197"/>
      <c r="C5" s="197"/>
      <c r="D5" s="106"/>
      <c r="F5" s="106"/>
      <c r="H5" s="106"/>
      <c r="I5" s="104"/>
      <c r="J5" s="106"/>
      <c r="K5" s="104"/>
      <c r="L5" s="106"/>
      <c r="M5" s="104"/>
      <c r="N5" s="106"/>
      <c r="O5" s="104"/>
      <c r="P5" s="106"/>
      <c r="R5" s="107"/>
      <c r="S5" s="107"/>
      <c r="BB5" s="104"/>
      <c r="BC5" s="104"/>
      <c r="BD5" s="104"/>
      <c r="BH5" s="104"/>
      <c r="BI5" s="104"/>
      <c r="BJ5" s="104"/>
      <c r="BK5" s="184"/>
      <c r="BL5" s="184"/>
      <c r="BM5" s="184"/>
      <c r="BN5" s="184"/>
      <c r="BO5" s="104"/>
      <c r="BP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</row>
    <row r="6" spans="1:88" ht="48.65" customHeight="1" x14ac:dyDescent="0.4">
      <c r="F6" s="108"/>
      <c r="G6" s="198" t="s">
        <v>24</v>
      </c>
      <c r="H6" s="198"/>
      <c r="I6" s="148" t="str">
        <f>UPPER(TEXT(DATE(CalendarYear,1,1)," yyyy"))</f>
        <v xml:space="preserve"> 2021</v>
      </c>
      <c r="J6" s="108"/>
      <c r="K6" s="149" t="s">
        <v>81</v>
      </c>
      <c r="L6" s="108"/>
      <c r="N6" s="108"/>
      <c r="BO6" s="109"/>
      <c r="BP6" s="110"/>
      <c r="BR6" s="109"/>
      <c r="BS6" s="110"/>
      <c r="BT6" s="109"/>
      <c r="BU6" s="109"/>
      <c r="BV6" s="110"/>
      <c r="BW6" s="109"/>
      <c r="BX6" s="109"/>
      <c r="BY6" s="110"/>
      <c r="CA6" s="109"/>
      <c r="CB6" s="185"/>
      <c r="CC6" s="185"/>
      <c r="CD6" s="111"/>
      <c r="CE6" s="110"/>
    </row>
    <row r="7" spans="1:88" s="114" customFormat="1" ht="26.25" customHeight="1" x14ac:dyDescent="0.4">
      <c r="A7" s="101"/>
      <c r="B7" s="112"/>
      <c r="C7" s="60" t="s">
        <v>7</v>
      </c>
      <c r="D7" s="60"/>
      <c r="E7" s="60" t="s">
        <v>8</v>
      </c>
      <c r="F7" s="60"/>
      <c r="G7" s="60" t="s">
        <v>9</v>
      </c>
      <c r="H7" s="60"/>
      <c r="I7" s="60" t="s">
        <v>10</v>
      </c>
      <c r="J7" s="60"/>
      <c r="K7" s="60" t="s">
        <v>11</v>
      </c>
      <c r="L7" s="60"/>
      <c r="M7" s="60" t="s">
        <v>12</v>
      </c>
      <c r="N7" s="60"/>
      <c r="O7" s="60" t="s">
        <v>13</v>
      </c>
      <c r="P7" s="113"/>
      <c r="Q7" s="101"/>
      <c r="S7" s="101"/>
      <c r="T7" s="115"/>
      <c r="X7" s="101"/>
      <c r="Y7" s="101"/>
    </row>
    <row r="8" spans="1:88" s="51" customFormat="1" ht="18" customHeight="1" x14ac:dyDescent="0.3">
      <c r="B8" s="52"/>
      <c r="C8" s="55">
        <f>IF(DAY(NovSun1)=1,"",IF(AND(YEAR(NovSun1+1)=CalendarYear,MONTH(NovSun1+1)=11),NovSun1+1,""))</f>
        <v>44501</v>
      </c>
      <c r="D8" s="116" t="s">
        <v>29</v>
      </c>
      <c r="E8" s="55">
        <f>IF(DAY(NovSun1)=1,"",IF(AND(YEAR(NovSun1+2)=CalendarYear,MONTH(NovSun1+2)=11),NovSun1+2,""))</f>
        <v>44502</v>
      </c>
      <c r="F8" s="116" t="s">
        <v>29</v>
      </c>
      <c r="G8" s="56">
        <f>IF(DAY(NovSun1)=1,"",IF(AND(YEAR(NovSun1+3)=CalendarYear,MONTH(NovSun1+3)=11),NovSun1+3,""))</f>
        <v>44503</v>
      </c>
      <c r="H8" s="116" t="s">
        <v>29</v>
      </c>
      <c r="I8" s="56">
        <f>IF(DAY(NovSun1)=1,"",IF(AND(YEAR(NovSun1+4)=CalendarYear,MONTH(NovSun1+4)=11),NovSun1+4,""))</f>
        <v>44504</v>
      </c>
      <c r="J8" s="116" t="s">
        <v>29</v>
      </c>
      <c r="K8" s="56">
        <f>IF(DAY(NovSun1)=1,"",IF(AND(YEAR(NovSun1+5)=CalendarYear,MONTH(NovSun1+5)=11),NovSun1+5,""))</f>
        <v>44505</v>
      </c>
      <c r="L8" s="116" t="s">
        <v>29</v>
      </c>
      <c r="M8" s="56">
        <f>IF(DAY(NovSun1)=1,"",IF(AND(YEAR(NovSun1+6)=CalendarYear,MONTH(NovSun1+6)=11),NovSun1+6,""))</f>
        <v>44506</v>
      </c>
      <c r="N8" s="116" t="s">
        <v>29</v>
      </c>
      <c r="O8" s="56">
        <f>IF(DAY(NovSun1)=1,IF(AND(YEAR(NovSun1)=CalendarYear,MONTH(NovSun1)=11),NovSun1,""),IF(AND(YEAR(NovSun1+7)=CalendarYear,MONTH(NovSun1+7)=11),NovSun1+7,""))</f>
        <v>44507</v>
      </c>
      <c r="P8" s="116" t="s">
        <v>29</v>
      </c>
      <c r="Q8" s="47"/>
      <c r="T8" s="53"/>
      <c r="U8" s="54"/>
    </row>
    <row r="9" spans="1:88" s="117" customFormat="1" ht="17.5" customHeight="1" x14ac:dyDescent="0.5">
      <c r="B9" s="118" t="s">
        <v>37</v>
      </c>
      <c r="C9" s="119" t="s">
        <v>45</v>
      </c>
      <c r="D9" s="120"/>
      <c r="E9" s="119" t="s">
        <v>65</v>
      </c>
      <c r="F9" s="120"/>
      <c r="G9" s="121" t="s">
        <v>85</v>
      </c>
      <c r="H9" s="120"/>
      <c r="I9" s="121" t="s">
        <v>52</v>
      </c>
      <c r="J9" s="120"/>
      <c r="K9" s="121" t="s">
        <v>75</v>
      </c>
      <c r="L9" s="120"/>
      <c r="M9" s="121" t="s">
        <v>30</v>
      </c>
      <c r="N9" s="120"/>
      <c r="O9" s="121" t="s">
        <v>30</v>
      </c>
      <c r="P9" s="120"/>
      <c r="Q9" s="122"/>
    </row>
    <row r="10" spans="1:88" s="117" customFormat="1" ht="17.5" customHeight="1" x14ac:dyDescent="0.5">
      <c r="B10" s="118"/>
      <c r="C10" s="123"/>
      <c r="D10" s="124"/>
      <c r="E10" s="123"/>
      <c r="F10" s="124"/>
      <c r="G10" s="125"/>
      <c r="H10" s="124"/>
      <c r="I10" s="125"/>
      <c r="J10" s="124"/>
      <c r="K10" s="125"/>
      <c r="L10" s="124"/>
      <c r="M10" s="125"/>
      <c r="N10" s="124"/>
      <c r="O10" s="125"/>
      <c r="P10" s="124"/>
      <c r="Q10" s="122"/>
    </row>
    <row r="11" spans="1:88" s="117" customFormat="1" ht="17.5" customHeight="1" x14ac:dyDescent="0.5">
      <c r="B11" s="118"/>
      <c r="C11" s="123" t="s">
        <v>54</v>
      </c>
      <c r="D11" s="124"/>
      <c r="E11" s="123" t="s">
        <v>41</v>
      </c>
      <c r="F11" s="124"/>
      <c r="G11" s="125" t="s">
        <v>86</v>
      </c>
      <c r="H11" s="124"/>
      <c r="I11" s="125" t="s">
        <v>79</v>
      </c>
      <c r="J11" s="124"/>
      <c r="K11" s="125" t="s">
        <v>68</v>
      </c>
      <c r="L11" s="124"/>
      <c r="M11" s="125" t="s">
        <v>30</v>
      </c>
      <c r="N11" s="124"/>
      <c r="O11" s="125" t="s">
        <v>30</v>
      </c>
      <c r="P11" s="124"/>
      <c r="Q11" s="122"/>
    </row>
    <row r="12" spans="1:88" s="117" customFormat="1" ht="17.5" customHeight="1" x14ac:dyDescent="0.5">
      <c r="B12" s="118"/>
      <c r="C12" s="123"/>
      <c r="D12" s="124"/>
      <c r="E12" s="123"/>
      <c r="F12" s="124"/>
      <c r="G12" s="125"/>
      <c r="H12" s="124"/>
      <c r="I12" s="125"/>
      <c r="J12" s="124"/>
      <c r="K12" s="125"/>
      <c r="L12" s="124"/>
      <c r="M12" s="125"/>
      <c r="N12" s="124"/>
      <c r="O12" s="125"/>
      <c r="P12" s="124"/>
      <c r="Q12" s="122"/>
    </row>
    <row r="13" spans="1:88" s="117" customFormat="1" ht="17.5" customHeight="1" x14ac:dyDescent="0.5">
      <c r="B13" s="118"/>
      <c r="C13" s="123" t="s">
        <v>48</v>
      </c>
      <c r="D13" s="124"/>
      <c r="E13" s="123" t="s">
        <v>53</v>
      </c>
      <c r="F13" s="124"/>
      <c r="G13" s="125" t="s">
        <v>88</v>
      </c>
      <c r="H13" s="124"/>
      <c r="I13" s="125" t="s">
        <v>66</v>
      </c>
      <c r="J13" s="124"/>
      <c r="K13" s="125" t="s">
        <v>88</v>
      </c>
      <c r="L13" s="124"/>
      <c r="M13" s="125" t="s">
        <v>30</v>
      </c>
      <c r="N13" s="124"/>
      <c r="O13" s="125" t="s">
        <v>30</v>
      </c>
      <c r="P13" s="124"/>
      <c r="Q13" s="122"/>
    </row>
    <row r="14" spans="1:88" s="117" customFormat="1" ht="17.5" customHeight="1" x14ac:dyDescent="0.5">
      <c r="B14" s="118"/>
      <c r="C14" s="123"/>
      <c r="D14" s="124"/>
      <c r="E14" s="123"/>
      <c r="F14" s="124"/>
      <c r="G14" s="125"/>
      <c r="H14" s="124"/>
      <c r="I14" s="125"/>
      <c r="J14" s="124"/>
      <c r="K14" s="125"/>
      <c r="L14" s="124"/>
      <c r="M14" s="125"/>
      <c r="N14" s="124"/>
      <c r="O14" s="125"/>
      <c r="P14" s="124"/>
      <c r="Q14" s="122"/>
    </row>
    <row r="15" spans="1:88" s="117" customFormat="1" ht="17.5" customHeight="1" x14ac:dyDescent="0.5">
      <c r="B15" s="118"/>
      <c r="C15" s="123" t="s">
        <v>82</v>
      </c>
      <c r="D15" s="124"/>
      <c r="E15" s="123" t="s">
        <v>66</v>
      </c>
      <c r="F15" s="124"/>
      <c r="G15" s="125" t="s">
        <v>87</v>
      </c>
      <c r="H15" s="124"/>
      <c r="I15" s="125" t="s">
        <v>41</v>
      </c>
      <c r="J15" s="124"/>
      <c r="K15" s="125" t="s">
        <v>53</v>
      </c>
      <c r="L15" s="124"/>
      <c r="M15" s="125" t="s">
        <v>30</v>
      </c>
      <c r="N15" s="124"/>
      <c r="O15" s="125" t="s">
        <v>30</v>
      </c>
      <c r="P15" s="124"/>
      <c r="Q15" s="122"/>
    </row>
    <row r="16" spans="1:88" s="117" customFormat="1" ht="17.5" customHeight="1" x14ac:dyDescent="0.5">
      <c r="B16" s="118"/>
      <c r="C16" s="123"/>
      <c r="D16" s="124"/>
      <c r="E16" s="123"/>
      <c r="F16" s="124"/>
      <c r="G16" s="125"/>
      <c r="H16" s="124"/>
      <c r="I16" s="125"/>
      <c r="J16" s="124"/>
      <c r="K16" s="125"/>
      <c r="L16" s="124"/>
      <c r="M16" s="125"/>
      <c r="N16" s="124"/>
      <c r="O16" s="125"/>
      <c r="P16" s="124"/>
      <c r="Q16" s="122"/>
    </row>
    <row r="17" spans="2:21" s="117" customFormat="1" ht="17.5" customHeight="1" x14ac:dyDescent="0.5">
      <c r="B17" s="118"/>
      <c r="C17" s="123" t="s">
        <v>42</v>
      </c>
      <c r="D17" s="124"/>
      <c r="E17" s="123" t="s">
        <v>49</v>
      </c>
      <c r="F17" s="124"/>
      <c r="G17" s="125" t="s">
        <v>42</v>
      </c>
      <c r="H17" s="124"/>
      <c r="I17" s="125" t="s">
        <v>58</v>
      </c>
      <c r="J17" s="124"/>
      <c r="K17" s="125" t="s">
        <v>42</v>
      </c>
      <c r="L17" s="124"/>
      <c r="M17" s="125" t="s">
        <v>30</v>
      </c>
      <c r="N17" s="124"/>
      <c r="O17" s="125" t="s">
        <v>30</v>
      </c>
      <c r="P17" s="124"/>
      <c r="Q17" s="122"/>
    </row>
    <row r="18" spans="2:21" s="117" customFormat="1" ht="17.5" customHeight="1" x14ac:dyDescent="0.5">
      <c r="B18" s="126"/>
      <c r="C18" s="150"/>
      <c r="D18" s="151"/>
      <c r="E18" s="150"/>
      <c r="F18" s="151"/>
      <c r="G18" s="152"/>
      <c r="H18" s="151"/>
      <c r="I18" s="152"/>
      <c r="J18" s="151"/>
      <c r="K18" s="152"/>
      <c r="L18" s="151"/>
      <c r="M18" s="152"/>
      <c r="N18" s="151"/>
      <c r="O18" s="152"/>
      <c r="P18" s="124"/>
      <c r="Q18" s="122"/>
    </row>
    <row r="19" spans="2:21" s="117" customFormat="1" ht="17.5" customHeight="1" x14ac:dyDescent="0.5">
      <c r="B19" s="126" t="s">
        <v>43</v>
      </c>
      <c r="C19" s="150" t="s">
        <v>83</v>
      </c>
      <c r="D19" s="151"/>
      <c r="E19" s="150" t="s">
        <v>73</v>
      </c>
      <c r="F19" s="151"/>
      <c r="G19" s="152" t="s">
        <v>108</v>
      </c>
      <c r="H19" s="151"/>
      <c r="I19" s="152" t="s">
        <v>59</v>
      </c>
      <c r="J19" s="151"/>
      <c r="K19" s="152" t="s">
        <v>44</v>
      </c>
      <c r="L19" s="151"/>
      <c r="M19" s="152" t="s">
        <v>30</v>
      </c>
      <c r="N19" s="151"/>
      <c r="O19" s="152" t="s">
        <v>30</v>
      </c>
      <c r="P19" s="124"/>
      <c r="Q19" s="122"/>
    </row>
    <row r="20" spans="2:21" s="117" customFormat="1" ht="17.5" customHeight="1" x14ac:dyDescent="0.5">
      <c r="B20" s="127"/>
      <c r="C20" s="153" t="s">
        <v>34</v>
      </c>
      <c r="D20" s="154"/>
      <c r="E20" s="153" t="s">
        <v>31</v>
      </c>
      <c r="F20" s="154"/>
      <c r="G20" s="155" t="s">
        <v>60</v>
      </c>
      <c r="H20" s="154"/>
      <c r="I20" s="155" t="s">
        <v>34</v>
      </c>
      <c r="J20" s="154"/>
      <c r="K20" s="155" t="s">
        <v>91</v>
      </c>
      <c r="L20" s="154"/>
      <c r="M20" s="155" t="s">
        <v>30</v>
      </c>
      <c r="N20" s="154"/>
      <c r="O20" s="155" t="s">
        <v>30</v>
      </c>
      <c r="P20" s="128"/>
      <c r="Q20" s="122"/>
    </row>
    <row r="21" spans="2:21" s="51" customFormat="1" ht="18" customHeight="1" x14ac:dyDescent="0.3">
      <c r="B21" s="129"/>
      <c r="C21" s="55">
        <f>IF(DAY(NovSun1)=1,IF(AND(YEAR(NovSun1+1)=CalendarYear,MONTH(NovSun1+1)=11),NovSun1+1,""),IF(AND(YEAR(NovSun1+8)=CalendarYear,MONTH(NovSun1+8)=11),NovSun1+8,""))</f>
        <v>44508</v>
      </c>
      <c r="D21" s="116" t="s">
        <v>29</v>
      </c>
      <c r="E21" s="55">
        <f>IF(DAY(NovSun1)=1,IF(AND(YEAR(NovSun1+2)=CalendarYear,MONTH(NovSun1+2)=11),NovSun1+2,""),IF(AND(YEAR(NovSun1+9)=CalendarYear,MONTH(NovSun1+9)=11),NovSun1+9,""))</f>
        <v>44509</v>
      </c>
      <c r="F21" s="116" t="s">
        <v>29</v>
      </c>
      <c r="G21" s="56">
        <f>IF(DAY(NovSun1)=1,IF(AND(YEAR(NovSun1+3)=CalendarYear,MONTH(NovSun1+3)=11),NovSun1+3,""),IF(AND(YEAR(NovSun1+10)=CalendarYear,MONTH(NovSun1+10)=11),NovSun1+10,""))</f>
        <v>44510</v>
      </c>
      <c r="H21" s="116" t="s">
        <v>29</v>
      </c>
      <c r="I21" s="56">
        <f>IF(DAY(NovSun1)=1,IF(AND(YEAR(NovSun1+4)=CalendarYear,MONTH(NovSun1+4)=11),NovSun1+4,""),IF(AND(YEAR(NovSun1+11)=CalendarYear,MONTH(NovSun1+11)=11),NovSun1+11,""))</f>
        <v>44511</v>
      </c>
      <c r="J21" s="116" t="s">
        <v>29</v>
      </c>
      <c r="K21" s="56">
        <f>IF(DAY(NovSun1)=1,IF(AND(YEAR(NovSun1+5)=CalendarYear,MONTH(NovSun1+5)=11),NovSun1+5,""),IF(AND(YEAR(NovSun1+12)=CalendarYear,MONTH(NovSun1+12)=11),NovSun1+12,""))</f>
        <v>44512</v>
      </c>
      <c r="L21" s="116" t="s">
        <v>29</v>
      </c>
      <c r="M21" s="56">
        <f>IF(DAY(NovSun1)=1,IF(AND(YEAR(NovSun1+6)=CalendarYear,MONTH(NovSun1+6)=11),NovSun1+6,""),IF(AND(YEAR(NovSun1+13)=CalendarYear,MONTH(NovSun1+13)=11),NovSun1+13,""))</f>
        <v>44513</v>
      </c>
      <c r="N21" s="116" t="s">
        <v>29</v>
      </c>
      <c r="O21" s="56">
        <f>IF(DAY(NovSun1)=1,IF(AND(YEAR(NovSun1+7)=CalendarYear,MONTH(NovSun1+7)=11),NovSun1+7,""),IF(AND(YEAR(NovSun1+14)=CalendarYear,MONTH(NovSun1+14)=11),NovSun1+14,""))</f>
        <v>44514</v>
      </c>
      <c r="P21" s="116" t="s">
        <v>29</v>
      </c>
      <c r="Q21" s="47"/>
      <c r="T21" s="53"/>
      <c r="U21" s="54"/>
    </row>
    <row r="22" spans="2:21" s="117" customFormat="1" ht="17.5" customHeight="1" x14ac:dyDescent="0.5">
      <c r="B22" s="118" t="s">
        <v>37</v>
      </c>
      <c r="C22" s="130" t="s">
        <v>89</v>
      </c>
      <c r="D22" s="131"/>
      <c r="E22" s="130" t="s">
        <v>52</v>
      </c>
      <c r="F22" s="131"/>
      <c r="G22" s="132" t="s">
        <v>90</v>
      </c>
      <c r="H22" s="131"/>
      <c r="I22" s="132" t="s">
        <v>92</v>
      </c>
      <c r="J22" s="131"/>
      <c r="K22" s="132" t="s">
        <v>65</v>
      </c>
      <c r="L22" s="131"/>
      <c r="M22" s="132" t="s">
        <v>30</v>
      </c>
      <c r="N22" s="131"/>
      <c r="O22" s="132" t="s">
        <v>30</v>
      </c>
      <c r="P22" s="131"/>
      <c r="Q22" s="122"/>
    </row>
    <row r="23" spans="2:21" s="117" customFormat="1" ht="17.5" customHeight="1" x14ac:dyDescent="0.5">
      <c r="B23" s="118"/>
      <c r="C23" s="133"/>
      <c r="D23" s="134"/>
      <c r="E23" s="133"/>
      <c r="F23" s="134"/>
      <c r="G23" s="135"/>
      <c r="H23" s="134"/>
      <c r="I23" s="135"/>
      <c r="J23" s="134"/>
      <c r="K23" s="135"/>
      <c r="L23" s="134"/>
      <c r="M23" s="135"/>
      <c r="N23" s="134"/>
      <c r="O23" s="135"/>
      <c r="P23" s="134"/>
      <c r="Q23" s="122"/>
    </row>
    <row r="24" spans="2:21" s="117" customFormat="1" ht="17.5" customHeight="1" x14ac:dyDescent="0.5">
      <c r="B24" s="118"/>
      <c r="C24" s="133" t="s">
        <v>41</v>
      </c>
      <c r="D24" s="134"/>
      <c r="E24" s="133" t="s">
        <v>79</v>
      </c>
      <c r="F24" s="134"/>
      <c r="G24" s="135" t="s">
        <v>48</v>
      </c>
      <c r="H24" s="134"/>
      <c r="I24" s="135" t="s">
        <v>79</v>
      </c>
      <c r="J24" s="134"/>
      <c r="K24" s="135" t="s">
        <v>48</v>
      </c>
      <c r="L24" s="134"/>
      <c r="M24" s="135" t="s">
        <v>30</v>
      </c>
      <c r="N24" s="134"/>
      <c r="O24" s="135" t="s">
        <v>30</v>
      </c>
      <c r="P24" s="134"/>
      <c r="Q24" s="122"/>
    </row>
    <row r="25" spans="2:21" s="117" customFormat="1" ht="17.5" customHeight="1" x14ac:dyDescent="0.5">
      <c r="B25" s="118"/>
      <c r="C25" s="133"/>
      <c r="D25" s="134"/>
      <c r="E25" s="133"/>
      <c r="F25" s="134"/>
      <c r="G25" s="135"/>
      <c r="H25" s="134"/>
      <c r="I25" s="135"/>
      <c r="J25" s="134"/>
      <c r="K25" s="135"/>
      <c r="L25" s="134"/>
      <c r="M25" s="135"/>
      <c r="N25" s="134"/>
      <c r="O25" s="135"/>
      <c r="P25" s="134"/>
      <c r="Q25" s="122"/>
    </row>
    <row r="26" spans="2:21" s="117" customFormat="1" ht="17.5" customHeight="1" x14ac:dyDescent="0.5">
      <c r="B26" s="118"/>
      <c r="C26" s="133" t="s">
        <v>40</v>
      </c>
      <c r="D26" s="134"/>
      <c r="E26" s="133" t="s">
        <v>88</v>
      </c>
      <c r="F26" s="134"/>
      <c r="G26" s="135" t="s">
        <v>82</v>
      </c>
      <c r="H26" s="134"/>
      <c r="I26" s="135" t="s">
        <v>88</v>
      </c>
      <c r="J26" s="134"/>
      <c r="K26" s="135" t="s">
        <v>54</v>
      </c>
      <c r="L26" s="134"/>
      <c r="M26" s="135" t="s">
        <v>30</v>
      </c>
      <c r="N26" s="134"/>
      <c r="O26" s="135" t="s">
        <v>30</v>
      </c>
      <c r="P26" s="134"/>
      <c r="Q26" s="122"/>
    </row>
    <row r="27" spans="2:21" s="117" customFormat="1" ht="17.5" customHeight="1" x14ac:dyDescent="0.5">
      <c r="B27" s="118"/>
      <c r="C27" s="133"/>
      <c r="D27" s="134"/>
      <c r="E27" s="133"/>
      <c r="F27" s="134"/>
      <c r="G27" s="135"/>
      <c r="H27" s="134"/>
      <c r="I27" s="135"/>
      <c r="J27" s="134"/>
      <c r="K27" s="135"/>
      <c r="L27" s="134"/>
      <c r="M27" s="135"/>
      <c r="N27" s="134"/>
      <c r="O27" s="135"/>
      <c r="P27" s="134"/>
      <c r="Q27" s="122"/>
    </row>
    <row r="28" spans="2:21" s="117" customFormat="1" ht="17.5" customHeight="1" x14ac:dyDescent="0.5">
      <c r="B28" s="118"/>
      <c r="C28" s="133" t="s">
        <v>87</v>
      </c>
      <c r="D28" s="134"/>
      <c r="E28" s="133" t="s">
        <v>66</v>
      </c>
      <c r="F28" s="134"/>
      <c r="G28" s="135" t="s">
        <v>41</v>
      </c>
      <c r="H28" s="134"/>
      <c r="I28" s="135" t="s">
        <v>56</v>
      </c>
      <c r="J28" s="134"/>
      <c r="K28" s="135" t="s">
        <v>66</v>
      </c>
      <c r="L28" s="134"/>
      <c r="M28" s="135" t="s">
        <v>30</v>
      </c>
      <c r="N28" s="134"/>
      <c r="O28" s="135" t="s">
        <v>30</v>
      </c>
      <c r="P28" s="134"/>
      <c r="Q28" s="122"/>
    </row>
    <row r="29" spans="2:21" s="117" customFormat="1" ht="17.5" customHeight="1" x14ac:dyDescent="0.5">
      <c r="B29" s="118"/>
      <c r="C29" s="133"/>
      <c r="D29" s="134"/>
      <c r="E29" s="133"/>
      <c r="F29" s="134"/>
      <c r="G29" s="135"/>
      <c r="H29" s="134"/>
      <c r="I29" s="135"/>
      <c r="J29" s="134"/>
      <c r="K29" s="135"/>
      <c r="L29" s="134"/>
      <c r="M29" s="135"/>
      <c r="N29" s="134"/>
      <c r="O29" s="135"/>
      <c r="P29" s="134"/>
      <c r="Q29" s="122"/>
    </row>
    <row r="30" spans="2:21" s="117" customFormat="1" ht="17.5" customHeight="1" x14ac:dyDescent="0.5">
      <c r="B30" s="118"/>
      <c r="C30" s="133" t="s">
        <v>42</v>
      </c>
      <c r="D30" s="134"/>
      <c r="E30" s="133" t="s">
        <v>49</v>
      </c>
      <c r="F30" s="134"/>
      <c r="G30" s="135" t="s">
        <v>42</v>
      </c>
      <c r="H30" s="134"/>
      <c r="I30" s="135" t="s">
        <v>42</v>
      </c>
      <c r="J30" s="134"/>
      <c r="K30" s="135" t="s">
        <v>95</v>
      </c>
      <c r="L30" s="134"/>
      <c r="M30" s="135" t="s">
        <v>30</v>
      </c>
      <c r="N30" s="134"/>
      <c r="O30" s="135" t="s">
        <v>30</v>
      </c>
      <c r="P30" s="134"/>
      <c r="Q30" s="122"/>
    </row>
    <row r="31" spans="2:21" s="117" customFormat="1" ht="17.5" customHeight="1" x14ac:dyDescent="0.5">
      <c r="B31" s="126"/>
      <c r="C31" s="150"/>
      <c r="D31" s="151"/>
      <c r="E31" s="150"/>
      <c r="F31" s="151"/>
      <c r="G31" s="152"/>
      <c r="H31" s="151"/>
      <c r="I31" s="152"/>
      <c r="J31" s="151"/>
      <c r="K31" s="152"/>
      <c r="L31" s="151"/>
      <c r="M31" s="152"/>
      <c r="N31" s="151"/>
      <c r="O31" s="152"/>
      <c r="P31" s="134"/>
      <c r="Q31" s="122"/>
    </row>
    <row r="32" spans="2:21" s="117" customFormat="1" ht="17.5" customHeight="1" x14ac:dyDescent="0.5">
      <c r="B32" s="126" t="s">
        <v>43</v>
      </c>
      <c r="C32" s="150" t="s">
        <v>33</v>
      </c>
      <c r="D32" s="151"/>
      <c r="E32" s="150" t="s">
        <v>73</v>
      </c>
      <c r="F32" s="151"/>
      <c r="G32" s="152" t="s">
        <v>44</v>
      </c>
      <c r="H32" s="151"/>
      <c r="I32" s="152" t="s">
        <v>93</v>
      </c>
      <c r="J32" s="151"/>
      <c r="K32" s="152" t="s">
        <v>59</v>
      </c>
      <c r="L32" s="151"/>
      <c r="M32" s="152" t="s">
        <v>30</v>
      </c>
      <c r="N32" s="151"/>
      <c r="O32" s="152" t="s">
        <v>30</v>
      </c>
      <c r="P32" s="134"/>
      <c r="Q32" s="122"/>
    </row>
    <row r="33" spans="2:21" s="117" customFormat="1" ht="17.5" customHeight="1" x14ac:dyDescent="0.5">
      <c r="B33" s="127"/>
      <c r="C33" s="153" t="s">
        <v>31</v>
      </c>
      <c r="D33" s="154"/>
      <c r="E33" s="153" t="s">
        <v>31</v>
      </c>
      <c r="F33" s="154"/>
      <c r="G33" s="155" t="s">
        <v>91</v>
      </c>
      <c r="H33" s="154"/>
      <c r="I33" s="155" t="s">
        <v>31</v>
      </c>
      <c r="J33" s="154"/>
      <c r="K33" s="155" t="s">
        <v>94</v>
      </c>
      <c r="L33" s="154"/>
      <c r="M33" s="155" t="s">
        <v>30</v>
      </c>
      <c r="N33" s="154"/>
      <c r="O33" s="155" t="s">
        <v>30</v>
      </c>
      <c r="P33" s="137"/>
      <c r="Q33" s="122"/>
    </row>
    <row r="34" spans="2:21" s="51" customFormat="1" ht="18" customHeight="1" x14ac:dyDescent="0.3">
      <c r="B34" s="129"/>
      <c r="C34" s="55">
        <f>IF(DAY(NovSun1)=1,IF(AND(YEAR(NovSun1+8)=CalendarYear,MONTH(NovSun1+8)=11),NovSun1+8,""),IF(AND(YEAR(NovSun1+15)=CalendarYear,MONTH(NovSun1+15)=11),NovSun1+15,""))</f>
        <v>44515</v>
      </c>
      <c r="D34" s="116" t="s">
        <v>29</v>
      </c>
      <c r="E34" s="55">
        <f>IF(DAY(NovSun1)=1,IF(AND(YEAR(NovSun1+9)=CalendarYear,MONTH(NovSun1+9)=11),NovSun1+9,""),IF(AND(YEAR(NovSun1+16)=CalendarYear,MONTH(NovSun1+16)=11),NovSun1+16,""))</f>
        <v>44516</v>
      </c>
      <c r="F34" s="116" t="s">
        <v>29</v>
      </c>
      <c r="G34" s="56">
        <f>IF(DAY(NovSun1)=1,IF(AND(YEAR(NovSun1+10)=CalendarYear,MONTH(NovSun1+10)=11),NovSun1+10,""),IF(AND(YEAR(NovSun1+17)=CalendarYear,MONTH(NovSun1+17)=11),NovSun1+17,""))</f>
        <v>44517</v>
      </c>
      <c r="H34" s="116" t="s">
        <v>29</v>
      </c>
      <c r="I34" s="56">
        <f>IF(DAY(NovSun1)=1,IF(AND(YEAR(NovSun1+11)=CalendarYear,MONTH(NovSun1+11)=11),NovSun1+11,""),IF(AND(YEAR(NovSun1+18)=CalendarYear,MONTH(NovSun1+18)=11),NovSun1+18,""))</f>
        <v>44518</v>
      </c>
      <c r="J34" s="116" t="s">
        <v>29</v>
      </c>
      <c r="K34" s="56">
        <f>IF(DAY(NovSun1)=1,IF(AND(YEAR(NovSun1+12)=CalendarYear,MONTH(NovSun1+12)=11),NovSun1+12,""),IF(AND(YEAR(NovSun1+19)=CalendarYear,MONTH(NovSun1+19)=11),NovSun1+19,""))</f>
        <v>44519</v>
      </c>
      <c r="L34" s="116" t="s">
        <v>29</v>
      </c>
      <c r="M34" s="56">
        <f>IF(DAY(NovSun1)=1,IF(AND(YEAR(NovSun1+13)=CalendarYear,MONTH(NovSun1+13)=11),NovSun1+13,""),IF(AND(YEAR(NovSun1+20)=CalendarYear,MONTH(NovSun1+20)=11),NovSun1+20,""))</f>
        <v>44520</v>
      </c>
      <c r="N34" s="116" t="s">
        <v>29</v>
      </c>
      <c r="O34" s="56">
        <f>IF(DAY(NovSun1)=1,IF(AND(YEAR(NovSun1+14)=CalendarYear,MONTH(NovSun1+14)=11),NovSun1+14,""),IF(AND(YEAR(NovSun1+21)=CalendarYear,MONTH(NovSun1+21)=11),NovSun1+21,""))</f>
        <v>44521</v>
      </c>
      <c r="P34" s="116" t="s">
        <v>29</v>
      </c>
      <c r="Q34" s="47"/>
      <c r="T34" s="53"/>
      <c r="U34" s="54"/>
    </row>
    <row r="35" spans="2:21" s="117" customFormat="1" ht="17.5" customHeight="1" x14ac:dyDescent="0.5">
      <c r="B35" s="118" t="s">
        <v>37</v>
      </c>
      <c r="C35" s="119" t="s">
        <v>75</v>
      </c>
      <c r="D35" s="120"/>
      <c r="E35" s="119" t="s">
        <v>52</v>
      </c>
      <c r="F35" s="120"/>
      <c r="G35" s="121" t="s">
        <v>97</v>
      </c>
      <c r="H35" s="120"/>
      <c r="I35" s="121" t="s">
        <v>46</v>
      </c>
      <c r="J35" s="120"/>
      <c r="K35" s="121" t="s">
        <v>65</v>
      </c>
      <c r="L35" s="120"/>
      <c r="M35" s="121" t="s">
        <v>30</v>
      </c>
      <c r="N35" s="120"/>
      <c r="O35" s="121" t="s">
        <v>30</v>
      </c>
      <c r="P35" s="120"/>
      <c r="Q35" s="122"/>
    </row>
    <row r="36" spans="2:21" s="117" customFormat="1" ht="17.5" customHeight="1" x14ac:dyDescent="0.5">
      <c r="B36" s="118"/>
      <c r="C36" s="123"/>
      <c r="D36" s="124"/>
      <c r="E36" s="123"/>
      <c r="F36" s="124"/>
      <c r="G36" s="125"/>
      <c r="H36" s="124"/>
      <c r="I36" s="125"/>
      <c r="J36" s="124"/>
      <c r="K36" s="125"/>
      <c r="L36" s="124"/>
      <c r="M36" s="125"/>
      <c r="N36" s="124"/>
      <c r="O36" s="125"/>
      <c r="P36" s="124"/>
      <c r="Q36" s="122"/>
    </row>
    <row r="37" spans="2:21" s="117" customFormat="1" ht="17.5" customHeight="1" x14ac:dyDescent="0.5">
      <c r="B37" s="118"/>
      <c r="C37" s="123" t="s">
        <v>54</v>
      </c>
      <c r="D37" s="124"/>
      <c r="E37" s="123" t="s">
        <v>41</v>
      </c>
      <c r="F37" s="124"/>
      <c r="G37" s="125" t="s">
        <v>79</v>
      </c>
      <c r="H37" s="124"/>
      <c r="I37" s="125" t="s">
        <v>48</v>
      </c>
      <c r="J37" s="124"/>
      <c r="K37" s="125" t="s">
        <v>53</v>
      </c>
      <c r="L37" s="124"/>
      <c r="M37" s="125" t="s">
        <v>30</v>
      </c>
      <c r="N37" s="124"/>
      <c r="O37" s="125" t="s">
        <v>30</v>
      </c>
      <c r="P37" s="124"/>
      <c r="Q37" s="122"/>
    </row>
    <row r="38" spans="2:21" s="117" customFormat="1" ht="17.5" customHeight="1" x14ac:dyDescent="0.5">
      <c r="B38" s="118"/>
      <c r="C38" s="123"/>
      <c r="D38" s="124"/>
      <c r="E38" s="123"/>
      <c r="F38" s="124"/>
      <c r="G38" s="125"/>
      <c r="H38" s="124"/>
      <c r="I38" s="125"/>
      <c r="J38" s="124"/>
      <c r="K38" s="125"/>
      <c r="L38" s="124"/>
      <c r="M38" s="125"/>
      <c r="N38" s="124"/>
      <c r="O38" s="125"/>
      <c r="P38" s="124"/>
      <c r="Q38" s="122"/>
    </row>
    <row r="39" spans="2:21" s="117" customFormat="1" ht="17.5" customHeight="1" x14ac:dyDescent="0.5">
      <c r="B39" s="118"/>
      <c r="C39" s="123" t="s">
        <v>53</v>
      </c>
      <c r="D39" s="124"/>
      <c r="E39" s="123" t="s">
        <v>48</v>
      </c>
      <c r="F39" s="124"/>
      <c r="G39" s="125" t="s">
        <v>68</v>
      </c>
      <c r="H39" s="124"/>
      <c r="I39" s="125" t="s">
        <v>88</v>
      </c>
      <c r="J39" s="124"/>
      <c r="K39" s="125" t="s">
        <v>100</v>
      </c>
      <c r="L39" s="124"/>
      <c r="M39" s="125" t="s">
        <v>30</v>
      </c>
      <c r="N39" s="124"/>
      <c r="O39" s="125" t="s">
        <v>30</v>
      </c>
      <c r="P39" s="124"/>
      <c r="Q39" s="122"/>
    </row>
    <row r="40" spans="2:21" s="117" customFormat="1" ht="17.5" customHeight="1" x14ac:dyDescent="0.5">
      <c r="B40" s="118"/>
      <c r="C40" s="123"/>
      <c r="D40" s="124"/>
      <c r="E40" s="123"/>
      <c r="F40" s="124"/>
      <c r="G40" s="125"/>
      <c r="H40" s="124"/>
      <c r="I40" s="125"/>
      <c r="J40" s="124"/>
      <c r="K40" s="125"/>
      <c r="L40" s="124"/>
      <c r="M40" s="125"/>
      <c r="N40" s="124"/>
      <c r="O40" s="125"/>
      <c r="P40" s="124"/>
      <c r="Q40" s="122"/>
    </row>
    <row r="41" spans="2:21" s="117" customFormat="1" ht="17.5" customHeight="1" x14ac:dyDescent="0.5">
      <c r="B41" s="118"/>
      <c r="C41" s="123" t="s">
        <v>88</v>
      </c>
      <c r="D41" s="124"/>
      <c r="E41" s="123" t="s">
        <v>82</v>
      </c>
      <c r="F41" s="124"/>
      <c r="G41" s="125" t="s">
        <v>98</v>
      </c>
      <c r="H41" s="124"/>
      <c r="I41" s="125" t="s">
        <v>54</v>
      </c>
      <c r="J41" s="124"/>
      <c r="K41" s="125" t="s">
        <v>87</v>
      </c>
      <c r="L41" s="124"/>
      <c r="M41" s="125" t="s">
        <v>30</v>
      </c>
      <c r="N41" s="124"/>
      <c r="O41" s="125" t="s">
        <v>30</v>
      </c>
      <c r="P41" s="124"/>
      <c r="Q41" s="122"/>
    </row>
    <row r="42" spans="2:21" s="117" customFormat="1" ht="17.5" customHeight="1" x14ac:dyDescent="0.5">
      <c r="B42" s="118"/>
      <c r="C42" s="123"/>
      <c r="D42" s="124"/>
      <c r="E42" s="123"/>
      <c r="F42" s="124"/>
      <c r="G42" s="125"/>
      <c r="H42" s="124"/>
      <c r="I42" s="125"/>
      <c r="J42" s="124"/>
      <c r="K42" s="125"/>
      <c r="L42" s="124"/>
      <c r="M42" s="125"/>
      <c r="N42" s="124"/>
      <c r="O42" s="125"/>
      <c r="P42" s="124"/>
      <c r="Q42" s="122"/>
    </row>
    <row r="43" spans="2:21" s="117" customFormat="1" ht="17.5" customHeight="1" x14ac:dyDescent="0.5">
      <c r="B43" s="118"/>
      <c r="C43" s="123" t="s">
        <v>42</v>
      </c>
      <c r="D43" s="124"/>
      <c r="E43" s="123" t="s">
        <v>49</v>
      </c>
      <c r="F43" s="124"/>
      <c r="G43" s="125" t="s">
        <v>42</v>
      </c>
      <c r="H43" s="124"/>
      <c r="I43" s="125" t="s">
        <v>42</v>
      </c>
      <c r="J43" s="124"/>
      <c r="K43" s="125" t="s">
        <v>95</v>
      </c>
      <c r="L43" s="124"/>
      <c r="M43" s="125" t="s">
        <v>30</v>
      </c>
      <c r="N43" s="124"/>
      <c r="O43" s="125" t="s">
        <v>30</v>
      </c>
      <c r="P43" s="124"/>
      <c r="Q43" s="122"/>
    </row>
    <row r="44" spans="2:21" s="117" customFormat="1" ht="17.5" customHeight="1" x14ac:dyDescent="0.5">
      <c r="B44" s="126"/>
      <c r="C44" s="150"/>
      <c r="D44" s="151"/>
      <c r="E44" s="150"/>
      <c r="F44" s="151"/>
      <c r="G44" s="152"/>
      <c r="H44" s="151"/>
      <c r="I44" s="152"/>
      <c r="J44" s="151"/>
      <c r="K44" s="152"/>
      <c r="L44" s="151"/>
      <c r="M44" s="152"/>
      <c r="N44" s="151"/>
      <c r="O44" s="152"/>
      <c r="P44" s="124"/>
      <c r="Q44" s="122"/>
    </row>
    <row r="45" spans="2:21" s="117" customFormat="1" ht="17.5" customHeight="1" x14ac:dyDescent="0.5">
      <c r="B45" s="126" t="s">
        <v>43</v>
      </c>
      <c r="C45" s="150" t="s">
        <v>51</v>
      </c>
      <c r="D45" s="151"/>
      <c r="E45" s="150" t="s">
        <v>96</v>
      </c>
      <c r="F45" s="151"/>
      <c r="G45" s="152" t="s">
        <v>73</v>
      </c>
      <c r="H45" s="151"/>
      <c r="I45" s="152" t="s">
        <v>74</v>
      </c>
      <c r="J45" s="151"/>
      <c r="K45" s="152" t="s">
        <v>59</v>
      </c>
      <c r="L45" s="151"/>
      <c r="M45" s="152" t="s">
        <v>30</v>
      </c>
      <c r="N45" s="151"/>
      <c r="O45" s="152" t="s">
        <v>30</v>
      </c>
      <c r="P45" s="124"/>
      <c r="Q45" s="122"/>
    </row>
    <row r="46" spans="2:21" s="117" customFormat="1" ht="17.5" customHeight="1" x14ac:dyDescent="0.5">
      <c r="B46" s="127"/>
      <c r="C46" s="153" t="s">
        <v>31</v>
      </c>
      <c r="D46" s="154"/>
      <c r="E46" s="153" t="s">
        <v>34</v>
      </c>
      <c r="F46" s="154"/>
      <c r="G46" s="155" t="s">
        <v>99</v>
      </c>
      <c r="H46" s="154"/>
      <c r="I46" s="155" t="s">
        <v>34</v>
      </c>
      <c r="J46" s="154"/>
      <c r="K46" s="155" t="s">
        <v>91</v>
      </c>
      <c r="L46" s="154"/>
      <c r="M46" s="155" t="s">
        <v>30</v>
      </c>
      <c r="N46" s="154"/>
      <c r="O46" s="155" t="s">
        <v>30</v>
      </c>
      <c r="P46" s="128"/>
      <c r="Q46" s="122"/>
    </row>
    <row r="47" spans="2:21" s="51" customFormat="1" ht="18" customHeight="1" x14ac:dyDescent="0.3">
      <c r="B47" s="129"/>
      <c r="C47" s="55">
        <f>IF(DAY(NovSun1)=1,IF(AND(YEAR(NovSun1+15)=CalendarYear,MONTH(NovSun1+15)=11),NovSun1+15,""),IF(AND(YEAR(NovSun1+22)=CalendarYear,MONTH(NovSun1+22)=11),NovSun1+22,""))</f>
        <v>44522</v>
      </c>
      <c r="D47" s="116" t="s">
        <v>29</v>
      </c>
      <c r="E47" s="55">
        <f>IF(DAY(NovSun1)=1,IF(AND(YEAR(NovSun1+16)=CalendarYear,MONTH(NovSun1+16)=11),NovSun1+16,""),IF(AND(YEAR(NovSun1+23)=CalendarYear,MONTH(NovSun1+23)=11),NovSun1+23,""))</f>
        <v>44523</v>
      </c>
      <c r="F47" s="116" t="s">
        <v>29</v>
      </c>
      <c r="G47" s="56">
        <v>24</v>
      </c>
      <c r="H47" s="116" t="s">
        <v>29</v>
      </c>
      <c r="I47" s="56">
        <f>IF(DAY(NovSun1)=1,IF(AND(YEAR(NovSun1+18)=CalendarYear,MONTH(NovSun1+18)=11),NovSun1+18,""),IF(AND(YEAR(NovSun1+25)=CalendarYear,MONTH(NovSun1+25)=11),NovSun1+25,""))</f>
        <v>44525</v>
      </c>
      <c r="J47" s="116" t="s">
        <v>29</v>
      </c>
      <c r="K47" s="56">
        <f>IF(DAY(NovSun1)=1,IF(AND(YEAR(NovSun1+19)=CalendarYear,MONTH(NovSun1+19)=11),NovSun1+19,""),IF(AND(YEAR(NovSun1+26)=CalendarYear,MONTH(NovSun1+26)=11),NovSun1+26,""))</f>
        <v>44526</v>
      </c>
      <c r="L47" s="116" t="s">
        <v>29</v>
      </c>
      <c r="M47" s="56">
        <f>IF(DAY(NovSun1)=1,IF(AND(YEAR(NovSun1+20)=CalendarYear,MONTH(NovSun1+20)=11),NovSun1+20,""),IF(AND(YEAR(NovSun1+27)=CalendarYear,MONTH(NovSun1+27)=11),NovSun1+27,""))</f>
        <v>44527</v>
      </c>
      <c r="N47" s="116" t="s">
        <v>29</v>
      </c>
      <c r="O47" s="56">
        <f>IF(DAY(NovSun1)=1,IF(AND(YEAR(NovSun1+21)=CalendarYear,MONTH(NovSun1+21)=11),NovSun1+21,""),IF(AND(YEAR(NovSun1+28)=CalendarYear,MONTH(NovSun1+28)=11),NovSun1+28,""))</f>
        <v>44528</v>
      </c>
      <c r="P47" s="116" t="s">
        <v>29</v>
      </c>
      <c r="Q47" s="47"/>
      <c r="T47" s="53"/>
      <c r="U47" s="54"/>
    </row>
    <row r="48" spans="2:21" s="117" customFormat="1" ht="17.5" customHeight="1" x14ac:dyDescent="0.5">
      <c r="B48" s="118" t="s">
        <v>37</v>
      </c>
      <c r="C48" s="130" t="s">
        <v>107</v>
      </c>
      <c r="D48" s="131"/>
      <c r="E48" s="130" t="s">
        <v>38</v>
      </c>
      <c r="F48" s="131"/>
      <c r="G48" s="132" t="s">
        <v>65</v>
      </c>
      <c r="H48" s="131"/>
      <c r="I48" s="132" t="s">
        <v>52</v>
      </c>
      <c r="J48" s="131"/>
      <c r="K48" s="132" t="s">
        <v>62</v>
      </c>
      <c r="L48" s="131"/>
      <c r="M48" s="132" t="s">
        <v>30</v>
      </c>
      <c r="N48" s="131"/>
      <c r="O48" s="132" t="s">
        <v>30</v>
      </c>
      <c r="P48" s="131"/>
      <c r="Q48" s="122"/>
    </row>
    <row r="49" spans="2:21" s="117" customFormat="1" ht="17.5" customHeight="1" x14ac:dyDescent="0.5">
      <c r="B49" s="118"/>
      <c r="C49" s="133"/>
      <c r="D49" s="134"/>
      <c r="E49" s="133"/>
      <c r="F49" s="134"/>
      <c r="G49" s="135"/>
      <c r="H49" s="134"/>
      <c r="I49" s="135"/>
      <c r="J49" s="134"/>
      <c r="K49" s="135"/>
      <c r="L49" s="134"/>
      <c r="M49" s="135"/>
      <c r="N49" s="134"/>
      <c r="O49" s="135"/>
      <c r="P49" s="134"/>
      <c r="Q49" s="122"/>
    </row>
    <row r="50" spans="2:21" s="117" customFormat="1" ht="17.5" customHeight="1" x14ac:dyDescent="0.5">
      <c r="B50" s="118"/>
      <c r="C50" s="133" t="s">
        <v>53</v>
      </c>
      <c r="D50" s="134"/>
      <c r="E50" s="133" t="s">
        <v>48</v>
      </c>
      <c r="F50" s="134"/>
      <c r="G50" s="135" t="s">
        <v>79</v>
      </c>
      <c r="H50" s="134"/>
      <c r="I50" s="135" t="s">
        <v>48</v>
      </c>
      <c r="J50" s="134"/>
      <c r="K50" s="135" t="s">
        <v>40</v>
      </c>
      <c r="L50" s="134"/>
      <c r="M50" s="135" t="s">
        <v>30</v>
      </c>
      <c r="N50" s="134"/>
      <c r="O50" s="135" t="s">
        <v>30</v>
      </c>
      <c r="P50" s="134"/>
      <c r="Q50" s="122"/>
    </row>
    <row r="51" spans="2:21" s="117" customFormat="1" ht="17.5" customHeight="1" x14ac:dyDescent="0.5">
      <c r="B51" s="118"/>
      <c r="C51" s="133"/>
      <c r="D51" s="134"/>
      <c r="E51" s="133"/>
      <c r="F51" s="134"/>
      <c r="G51" s="135"/>
      <c r="H51" s="134"/>
      <c r="I51" s="135"/>
      <c r="J51" s="134"/>
      <c r="K51" s="135"/>
      <c r="L51" s="134"/>
      <c r="M51" s="135"/>
      <c r="N51" s="134"/>
      <c r="O51" s="135"/>
      <c r="P51" s="134"/>
      <c r="Q51" s="122"/>
    </row>
    <row r="52" spans="2:21" s="117" customFormat="1" ht="17.5" customHeight="1" x14ac:dyDescent="0.5">
      <c r="B52" s="118"/>
      <c r="C52" s="133" t="s">
        <v>41</v>
      </c>
      <c r="D52" s="134"/>
      <c r="E52" s="133" t="s">
        <v>68</v>
      </c>
      <c r="F52" s="134"/>
      <c r="G52" s="135" t="s">
        <v>41</v>
      </c>
      <c r="H52" s="134"/>
      <c r="I52" s="135" t="s">
        <v>100</v>
      </c>
      <c r="J52" s="134"/>
      <c r="K52" s="135" t="s">
        <v>46</v>
      </c>
      <c r="L52" s="134"/>
      <c r="M52" s="135" t="s">
        <v>30</v>
      </c>
      <c r="N52" s="134"/>
      <c r="O52" s="135" t="s">
        <v>30</v>
      </c>
      <c r="P52" s="134"/>
      <c r="Q52" s="122"/>
    </row>
    <row r="53" spans="2:21" s="117" customFormat="1" ht="17.5" customHeight="1" x14ac:dyDescent="0.5">
      <c r="B53" s="118"/>
      <c r="C53" s="133"/>
      <c r="D53" s="134"/>
      <c r="E53" s="133"/>
      <c r="F53" s="134"/>
      <c r="G53" s="135"/>
      <c r="H53" s="134"/>
      <c r="I53" s="135"/>
      <c r="J53" s="134"/>
      <c r="K53" s="135"/>
      <c r="L53" s="134"/>
      <c r="M53" s="135"/>
      <c r="N53" s="134"/>
      <c r="O53" s="135"/>
      <c r="P53" s="134"/>
      <c r="Q53" s="122"/>
    </row>
    <row r="54" spans="2:21" s="117" customFormat="1" ht="17.5" customHeight="1" x14ac:dyDescent="0.5">
      <c r="B54" s="118"/>
      <c r="C54" s="133" t="s">
        <v>98</v>
      </c>
      <c r="D54" s="134"/>
      <c r="E54" s="133" t="s">
        <v>87</v>
      </c>
      <c r="F54" s="134"/>
      <c r="G54" s="135" t="s">
        <v>98</v>
      </c>
      <c r="H54" s="134"/>
      <c r="I54" s="135" t="s">
        <v>82</v>
      </c>
      <c r="J54" s="134"/>
      <c r="K54" s="135" t="s">
        <v>56</v>
      </c>
      <c r="L54" s="134"/>
      <c r="M54" s="135" t="s">
        <v>30</v>
      </c>
      <c r="N54" s="134"/>
      <c r="O54" s="135" t="s">
        <v>30</v>
      </c>
      <c r="P54" s="134"/>
      <c r="Q54" s="122"/>
    </row>
    <row r="55" spans="2:21" s="117" customFormat="1" ht="17.5" customHeight="1" x14ac:dyDescent="0.5">
      <c r="B55" s="118"/>
      <c r="C55" s="133"/>
      <c r="D55" s="134"/>
      <c r="E55" s="133"/>
      <c r="F55" s="134"/>
      <c r="G55" s="135"/>
      <c r="H55" s="134"/>
      <c r="I55" s="135"/>
      <c r="J55" s="134"/>
      <c r="K55" s="135"/>
      <c r="L55" s="134"/>
      <c r="M55" s="135"/>
      <c r="N55" s="134"/>
      <c r="O55" s="135"/>
      <c r="P55" s="134"/>
      <c r="Q55" s="122"/>
    </row>
    <row r="56" spans="2:21" s="117" customFormat="1" ht="17.5" customHeight="1" x14ac:dyDescent="0.5">
      <c r="B56" s="118"/>
      <c r="C56" s="133" t="s">
        <v>49</v>
      </c>
      <c r="D56" s="134"/>
      <c r="E56" s="133" t="s">
        <v>42</v>
      </c>
      <c r="F56" s="134"/>
      <c r="G56" s="135" t="s">
        <v>42</v>
      </c>
      <c r="H56" s="134"/>
      <c r="I56" s="135" t="s">
        <v>42</v>
      </c>
      <c r="J56" s="134"/>
      <c r="K56" s="135" t="s">
        <v>95</v>
      </c>
      <c r="L56" s="134"/>
      <c r="M56" s="135" t="s">
        <v>30</v>
      </c>
      <c r="N56" s="134"/>
      <c r="O56" s="135" t="s">
        <v>30</v>
      </c>
      <c r="P56" s="134"/>
      <c r="Q56" s="122"/>
    </row>
    <row r="57" spans="2:21" s="117" customFormat="1" ht="17.5" customHeight="1" x14ac:dyDescent="0.5">
      <c r="B57" s="126"/>
      <c r="C57" s="150"/>
      <c r="D57" s="151"/>
      <c r="E57" s="150"/>
      <c r="F57" s="151"/>
      <c r="G57" s="152"/>
      <c r="H57" s="151"/>
      <c r="I57" s="152"/>
      <c r="J57" s="151"/>
      <c r="K57" s="152"/>
      <c r="L57" s="151"/>
      <c r="M57" s="152"/>
      <c r="N57" s="151"/>
      <c r="O57" s="152"/>
      <c r="P57" s="134"/>
      <c r="Q57" s="122"/>
    </row>
    <row r="58" spans="2:21" s="117" customFormat="1" ht="17.5" customHeight="1" x14ac:dyDescent="0.5">
      <c r="B58" s="126" t="s">
        <v>43</v>
      </c>
      <c r="C58" s="150" t="s">
        <v>109</v>
      </c>
      <c r="D58" s="151"/>
      <c r="E58" s="150" t="s">
        <v>59</v>
      </c>
      <c r="F58" s="151"/>
      <c r="G58" s="152" t="s">
        <v>93</v>
      </c>
      <c r="H58" s="151"/>
      <c r="I58" s="152" t="s">
        <v>73</v>
      </c>
      <c r="J58" s="151"/>
      <c r="K58" s="152" t="s">
        <v>105</v>
      </c>
      <c r="L58" s="151"/>
      <c r="M58" s="152" t="s">
        <v>30</v>
      </c>
      <c r="N58" s="151"/>
      <c r="O58" s="152" t="s">
        <v>30</v>
      </c>
      <c r="P58" s="134"/>
      <c r="Q58" s="122"/>
    </row>
    <row r="59" spans="2:21" s="117" customFormat="1" ht="17.5" customHeight="1" x14ac:dyDescent="0.5">
      <c r="B59" s="127"/>
      <c r="C59" s="153" t="s">
        <v>91</v>
      </c>
      <c r="D59" s="154"/>
      <c r="E59" s="153" t="s">
        <v>94</v>
      </c>
      <c r="F59" s="154"/>
      <c r="G59" s="155" t="s">
        <v>31</v>
      </c>
      <c r="H59" s="154"/>
      <c r="I59" s="155" t="s">
        <v>31</v>
      </c>
      <c r="J59" s="154"/>
      <c r="K59" s="155" t="s">
        <v>34</v>
      </c>
      <c r="L59" s="154"/>
      <c r="M59" s="155" t="s">
        <v>30</v>
      </c>
      <c r="N59" s="154"/>
      <c r="O59" s="155" t="s">
        <v>30</v>
      </c>
      <c r="P59" s="137"/>
      <c r="Q59" s="122"/>
    </row>
    <row r="60" spans="2:21" s="51" customFormat="1" ht="18" customHeight="1" x14ac:dyDescent="0.3">
      <c r="B60" s="129"/>
      <c r="C60" s="55">
        <f>IF(DAY(NovSun1)=1,IF(AND(YEAR(NovSun1+22)=CalendarYear,MONTH(NovSun1+22)=11),NovSun1+22,""),IF(AND(YEAR(NovSun1+29)=CalendarYear,MONTH(NovSun1+29)=11),NovSun1+29,""))</f>
        <v>44529</v>
      </c>
      <c r="D60" s="116" t="s">
        <v>29</v>
      </c>
      <c r="E60" s="55">
        <f>IF(DAY(NovSun1)=1,IF(AND(YEAR(NovSun1+23)=CalendarYear,MONTH(NovSun1+23)=11),NovSun1+23,""),IF(AND(YEAR(NovSun1+30)=CalendarYear,MONTH(NovSun1+30)=11),NovSun1+30,""))</f>
        <v>44530</v>
      </c>
      <c r="F60" s="116" t="s">
        <v>29</v>
      </c>
      <c r="G60" s="56"/>
      <c r="H60" s="116" t="s">
        <v>29</v>
      </c>
      <c r="I60" s="56" t="str">
        <f>IF(DAY(NovSun1)=1,IF(AND(YEAR(NovSun1+25)=CalendarYear,MONTH(NovSun1+25)=11),NovSun1+25,""),IF(AND(YEAR(NovSun1+32)=CalendarYear,MONTH(NovSun1+32)=11),NovSun1+32,""))</f>
        <v/>
      </c>
      <c r="J60" s="116" t="s">
        <v>29</v>
      </c>
      <c r="K60" s="56" t="str">
        <f>IF(DAY(NovSun1)=1,IF(AND(YEAR(NovSun1+26)=CalendarYear,MONTH(NovSun1+26)=11),NovSun1+26,""),IF(AND(YEAR(NovSun1+33)=CalendarYear,MONTH(NovSun1+33)=11),NovSun1+33,""))</f>
        <v/>
      </c>
      <c r="L60" s="116" t="s">
        <v>29</v>
      </c>
      <c r="M60" s="56" t="str">
        <f>IF(DAY(NovSun1)=1,IF(AND(YEAR(NovSun1+27)=CalendarYear,MONTH(NovSun1+27)=11),NovSun1+27,""),IF(AND(YEAR(NovSun1+34)=CalendarYear,MONTH(NovSun1+34)=11),NovSun1+34,""))</f>
        <v/>
      </c>
      <c r="N60" s="116" t="s">
        <v>29</v>
      </c>
      <c r="O60" s="56" t="str">
        <f>IF(DAY(NovSun1)=1,IF(AND(YEAR(NovSun1+28)=CalendarYear,MONTH(NovSun1+28)=11),NovSun1+28,""),IF(AND(YEAR(NovSun1+35)=CalendarYear,MONTH(NovSun1+35)=11),NovSun1+35,""))</f>
        <v/>
      </c>
      <c r="P60" s="116" t="s">
        <v>29</v>
      </c>
      <c r="Q60" s="47"/>
      <c r="T60" s="53"/>
      <c r="U60" s="54"/>
    </row>
    <row r="61" spans="2:21" s="117" customFormat="1" ht="17.5" customHeight="1" x14ac:dyDescent="0.5">
      <c r="B61" s="118" t="s">
        <v>37</v>
      </c>
      <c r="C61" s="119" t="s">
        <v>89</v>
      </c>
      <c r="D61" s="120"/>
      <c r="E61" s="119" t="s">
        <v>65</v>
      </c>
      <c r="F61" s="120"/>
      <c r="G61" s="121"/>
      <c r="H61" s="120"/>
      <c r="I61" s="121"/>
      <c r="J61" s="120"/>
      <c r="K61" s="121"/>
      <c r="L61" s="120"/>
      <c r="M61" s="121"/>
      <c r="N61" s="120"/>
      <c r="O61" s="121"/>
      <c r="P61" s="120"/>
      <c r="Q61" s="122"/>
    </row>
    <row r="62" spans="2:21" s="117" customFormat="1" ht="17.5" customHeight="1" x14ac:dyDescent="0.5">
      <c r="B62" s="118"/>
      <c r="C62" s="123"/>
      <c r="D62" s="124"/>
      <c r="E62" s="123"/>
      <c r="F62" s="124"/>
      <c r="G62" s="125"/>
      <c r="H62" s="124"/>
      <c r="I62" s="125"/>
      <c r="J62" s="124"/>
      <c r="K62" s="125"/>
      <c r="L62" s="124"/>
      <c r="M62" s="125"/>
      <c r="N62" s="124"/>
      <c r="O62" s="125"/>
      <c r="P62" s="124"/>
      <c r="Q62" s="122"/>
    </row>
    <row r="63" spans="2:21" s="117" customFormat="1" ht="17.5" customHeight="1" x14ac:dyDescent="0.5">
      <c r="B63" s="118"/>
      <c r="C63" s="123" t="s">
        <v>88</v>
      </c>
      <c r="D63" s="124"/>
      <c r="E63" s="123" t="s">
        <v>48</v>
      </c>
      <c r="F63" s="124"/>
      <c r="G63" s="125"/>
      <c r="H63" s="124"/>
      <c r="I63" s="125"/>
      <c r="J63" s="124"/>
      <c r="K63" s="125"/>
      <c r="L63" s="124"/>
      <c r="M63" s="125"/>
      <c r="N63" s="124"/>
      <c r="O63" s="125"/>
      <c r="P63" s="124"/>
      <c r="Q63" s="122"/>
    </row>
    <row r="64" spans="2:21" s="117" customFormat="1" ht="17.5" customHeight="1" x14ac:dyDescent="0.5">
      <c r="B64" s="118"/>
      <c r="C64" s="123"/>
      <c r="D64" s="124"/>
      <c r="E64" s="123"/>
      <c r="F64" s="124"/>
      <c r="G64" s="125"/>
      <c r="H64" s="124"/>
      <c r="I64" s="125"/>
      <c r="J64" s="124"/>
      <c r="K64" s="125"/>
      <c r="L64" s="124"/>
      <c r="M64" s="125"/>
      <c r="N64" s="124"/>
      <c r="O64" s="125"/>
      <c r="P64" s="124"/>
      <c r="Q64" s="122"/>
    </row>
    <row r="65" spans="1:21" s="117" customFormat="1" ht="17.5" customHeight="1" x14ac:dyDescent="0.5">
      <c r="B65" s="118"/>
      <c r="C65" s="123" t="s">
        <v>82</v>
      </c>
      <c r="D65" s="124"/>
      <c r="E65" s="123" t="s">
        <v>102</v>
      </c>
      <c r="F65" s="124"/>
      <c r="G65" s="125"/>
      <c r="H65" s="124"/>
      <c r="I65" s="125"/>
      <c r="J65" s="124"/>
      <c r="K65" s="125"/>
      <c r="L65" s="124"/>
      <c r="M65" s="125"/>
      <c r="N65" s="124"/>
      <c r="O65" s="125"/>
      <c r="P65" s="124"/>
      <c r="Q65" s="122"/>
    </row>
    <row r="66" spans="1:21" s="117" customFormat="1" ht="17.5" customHeight="1" x14ac:dyDescent="0.5">
      <c r="B66" s="118"/>
      <c r="C66" s="123"/>
      <c r="D66" s="124"/>
      <c r="E66" s="123"/>
      <c r="F66" s="124"/>
      <c r="G66" s="125"/>
      <c r="H66" s="124"/>
      <c r="I66" s="125"/>
      <c r="J66" s="124"/>
      <c r="K66" s="125"/>
      <c r="L66" s="124"/>
      <c r="M66" s="125"/>
      <c r="N66" s="124"/>
      <c r="O66" s="125"/>
      <c r="P66" s="124"/>
      <c r="Q66" s="122"/>
    </row>
    <row r="67" spans="1:21" s="117" customFormat="1" ht="17.5" customHeight="1" x14ac:dyDescent="0.5">
      <c r="B67" s="118"/>
      <c r="C67" s="123" t="s">
        <v>54</v>
      </c>
      <c r="D67" s="124"/>
      <c r="E67" s="123" t="s">
        <v>103</v>
      </c>
      <c r="F67" s="124"/>
      <c r="G67" s="125"/>
      <c r="H67" s="124"/>
      <c r="I67" s="125"/>
      <c r="J67" s="124"/>
      <c r="K67" s="125"/>
      <c r="L67" s="124"/>
      <c r="M67" s="125"/>
      <c r="N67" s="124"/>
      <c r="O67" s="125"/>
      <c r="P67" s="124"/>
      <c r="Q67" s="122"/>
    </row>
    <row r="68" spans="1:21" s="117" customFormat="1" ht="17.5" customHeight="1" x14ac:dyDescent="0.5">
      <c r="B68" s="118"/>
      <c r="C68" s="123"/>
      <c r="D68" s="124"/>
      <c r="E68" s="123"/>
      <c r="F68" s="124"/>
      <c r="G68" s="125"/>
      <c r="H68" s="124"/>
      <c r="I68" s="125"/>
      <c r="J68" s="124"/>
      <c r="K68" s="125"/>
      <c r="L68" s="124"/>
      <c r="M68" s="125"/>
      <c r="N68" s="124"/>
      <c r="O68" s="125"/>
      <c r="P68" s="124"/>
      <c r="Q68" s="122"/>
    </row>
    <row r="69" spans="1:21" s="117" customFormat="1" ht="17.5" customHeight="1" x14ac:dyDescent="0.5">
      <c r="B69" s="118"/>
      <c r="C69" s="123" t="s">
        <v>42</v>
      </c>
      <c r="D69" s="124"/>
      <c r="E69" s="123" t="s">
        <v>42</v>
      </c>
      <c r="F69" s="124"/>
      <c r="G69" s="125"/>
      <c r="H69" s="124"/>
      <c r="I69" s="125"/>
      <c r="J69" s="124"/>
      <c r="K69" s="125"/>
      <c r="L69" s="124"/>
      <c r="M69" s="125"/>
      <c r="N69" s="124"/>
      <c r="O69" s="125"/>
      <c r="P69" s="124"/>
      <c r="Q69" s="122"/>
    </row>
    <row r="70" spans="1:21" s="117" customFormat="1" ht="17.5" customHeight="1" x14ac:dyDescent="0.5">
      <c r="B70" s="126"/>
      <c r="C70" s="150"/>
      <c r="D70" s="151"/>
      <c r="E70" s="150"/>
      <c r="F70" s="151"/>
      <c r="G70" s="152"/>
      <c r="H70" s="151"/>
      <c r="I70" s="152"/>
      <c r="J70" s="151"/>
      <c r="K70" s="152"/>
      <c r="L70" s="151"/>
      <c r="M70" s="152"/>
      <c r="N70" s="151"/>
      <c r="O70" s="152"/>
      <c r="P70" s="124"/>
      <c r="Q70" s="122"/>
    </row>
    <row r="71" spans="1:21" s="117" customFormat="1" ht="17.5" customHeight="1" x14ac:dyDescent="0.5">
      <c r="B71" s="126" t="s">
        <v>43</v>
      </c>
      <c r="C71" s="150" t="s">
        <v>84</v>
      </c>
      <c r="D71" s="151"/>
      <c r="E71" s="150" t="s">
        <v>101</v>
      </c>
      <c r="F71" s="151"/>
      <c r="G71" s="152"/>
      <c r="H71" s="151"/>
      <c r="I71" s="152"/>
      <c r="J71" s="151"/>
      <c r="K71" s="152"/>
      <c r="L71" s="151"/>
      <c r="M71" s="152"/>
      <c r="N71" s="151"/>
      <c r="O71" s="152"/>
      <c r="P71" s="124"/>
      <c r="Q71" s="122"/>
    </row>
    <row r="72" spans="1:21" s="117" customFormat="1" ht="17.5" customHeight="1" x14ac:dyDescent="0.5">
      <c r="B72" s="127"/>
      <c r="C72" s="153"/>
      <c r="D72" s="154"/>
      <c r="E72" s="153" t="s">
        <v>60</v>
      </c>
      <c r="F72" s="154"/>
      <c r="G72" s="155"/>
      <c r="H72" s="154"/>
      <c r="I72" s="155"/>
      <c r="J72" s="154"/>
      <c r="K72" s="155"/>
      <c r="L72" s="154"/>
      <c r="M72" s="155"/>
      <c r="N72" s="154"/>
      <c r="O72" s="155"/>
      <c r="P72" s="128"/>
      <c r="Q72" s="122"/>
    </row>
    <row r="73" spans="1:21" s="114" customFormat="1" ht="18" customHeight="1" x14ac:dyDescent="0.4">
      <c r="A73" s="51"/>
      <c r="B73" s="52"/>
      <c r="C73" s="55" t="str">
        <f>IF(DAY(NovSun1)=1,IF(AND(YEAR(NovSun1+29)=CalendarYear,MONTH(NovSun1+29)=11),NovSun1+29,""),IF(AND(YEAR(NovSun1+36)=CalendarYear,MONTH(NovSun1+36)=11),NovSun1+36,""))</f>
        <v/>
      </c>
      <c r="D73" s="116" t="s">
        <v>29</v>
      </c>
      <c r="E73" s="55" t="str">
        <f>IF(DAY(NovSun1)=1,IF(AND(YEAR(NovSun1+30)=CalendarYear,MONTH(NovSun1+30)=11),NovSun1+30,""),IF(AND(YEAR(NovSun1+37)=CalendarYear,MONTH(NovSun1+37)=11),NovSun1+37,""))</f>
        <v/>
      </c>
      <c r="F73" s="116" t="s">
        <v>29</v>
      </c>
      <c r="G73" s="56" t="s">
        <v>14</v>
      </c>
      <c r="H73" s="138"/>
      <c r="I73" s="139"/>
      <c r="J73" s="138"/>
      <c r="K73" s="139"/>
      <c r="L73" s="138"/>
      <c r="M73" s="139"/>
      <c r="N73" s="138"/>
      <c r="O73" s="139"/>
      <c r="P73" s="138"/>
      <c r="Q73" s="122"/>
      <c r="T73" s="117"/>
      <c r="U73" s="101"/>
    </row>
    <row r="74" spans="1:21" s="117" customFormat="1" ht="17.5" customHeight="1" x14ac:dyDescent="0.5">
      <c r="B74" s="140"/>
      <c r="C74" s="130"/>
      <c r="D74" s="131"/>
      <c r="E74" s="130"/>
      <c r="F74" s="131"/>
      <c r="G74" s="188" t="s">
        <v>104</v>
      </c>
      <c r="H74" s="189"/>
      <c r="I74" s="189"/>
      <c r="J74" s="189"/>
      <c r="K74" s="189"/>
      <c r="L74" s="189"/>
      <c r="M74" s="189"/>
      <c r="N74" s="189"/>
      <c r="O74" s="189"/>
      <c r="P74" s="190"/>
      <c r="Q74" s="122"/>
    </row>
    <row r="75" spans="1:21" s="117" customFormat="1" ht="17.5" customHeight="1" x14ac:dyDescent="0.5">
      <c r="B75" s="140"/>
      <c r="C75" s="133"/>
      <c r="D75" s="134"/>
      <c r="E75" s="133"/>
      <c r="F75" s="134"/>
      <c r="G75" s="191"/>
      <c r="H75" s="192"/>
      <c r="I75" s="192"/>
      <c r="J75" s="192"/>
      <c r="K75" s="192"/>
      <c r="L75" s="192"/>
      <c r="M75" s="192"/>
      <c r="N75" s="192"/>
      <c r="O75" s="192"/>
      <c r="P75" s="193"/>
      <c r="Q75" s="122"/>
    </row>
    <row r="76" spans="1:21" s="117" customFormat="1" ht="17.5" customHeight="1" x14ac:dyDescent="0.5">
      <c r="B76" s="140"/>
      <c r="C76" s="133"/>
      <c r="D76" s="134"/>
      <c r="E76" s="133"/>
      <c r="F76" s="134"/>
      <c r="G76" s="191"/>
      <c r="H76" s="192"/>
      <c r="I76" s="192"/>
      <c r="J76" s="192"/>
      <c r="K76" s="192"/>
      <c r="L76" s="192"/>
      <c r="M76" s="192"/>
      <c r="N76" s="192"/>
      <c r="O76" s="192"/>
      <c r="P76" s="193"/>
      <c r="Q76" s="122"/>
    </row>
    <row r="77" spans="1:21" s="117" customFormat="1" ht="17.5" customHeight="1" x14ac:dyDescent="0.5">
      <c r="B77" s="140"/>
      <c r="C77" s="133"/>
      <c r="D77" s="134"/>
      <c r="E77" s="133"/>
      <c r="F77" s="134"/>
      <c r="G77" s="191"/>
      <c r="H77" s="192"/>
      <c r="I77" s="192"/>
      <c r="J77" s="192"/>
      <c r="K77" s="192"/>
      <c r="L77" s="192"/>
      <c r="M77" s="192"/>
      <c r="N77" s="192"/>
      <c r="O77" s="192"/>
      <c r="P77" s="193"/>
      <c r="Q77" s="122"/>
    </row>
    <row r="78" spans="1:21" s="117" customFormat="1" ht="17.5" customHeight="1" x14ac:dyDescent="0.5">
      <c r="B78" s="140"/>
      <c r="C78" s="133"/>
      <c r="D78" s="134"/>
      <c r="E78" s="133"/>
      <c r="F78" s="134"/>
      <c r="G78" s="191"/>
      <c r="H78" s="192"/>
      <c r="I78" s="192"/>
      <c r="J78" s="192"/>
      <c r="K78" s="192"/>
      <c r="L78" s="192"/>
      <c r="M78" s="192"/>
      <c r="N78" s="192"/>
      <c r="O78" s="192"/>
      <c r="P78" s="193"/>
      <c r="Q78" s="122"/>
    </row>
    <row r="79" spans="1:21" s="117" customFormat="1" ht="17.5" customHeight="1" x14ac:dyDescent="0.5">
      <c r="B79" s="140"/>
      <c r="C79" s="133"/>
      <c r="D79" s="134"/>
      <c r="E79" s="133"/>
      <c r="F79" s="134"/>
      <c r="G79" s="191"/>
      <c r="H79" s="192"/>
      <c r="I79" s="192"/>
      <c r="J79" s="192"/>
      <c r="K79" s="192"/>
      <c r="L79" s="192"/>
      <c r="M79" s="192"/>
      <c r="N79" s="192"/>
      <c r="O79" s="192"/>
      <c r="P79" s="193"/>
      <c r="Q79" s="122"/>
    </row>
    <row r="80" spans="1:21" s="117" customFormat="1" ht="17.5" customHeight="1" x14ac:dyDescent="0.5">
      <c r="B80" s="140"/>
      <c r="C80" s="133"/>
      <c r="D80" s="134"/>
      <c r="E80" s="133"/>
      <c r="F80" s="134"/>
      <c r="G80" s="191"/>
      <c r="H80" s="192"/>
      <c r="I80" s="192"/>
      <c r="J80" s="192"/>
      <c r="K80" s="192"/>
      <c r="L80" s="192"/>
      <c r="M80" s="192"/>
      <c r="N80" s="192"/>
      <c r="O80" s="192"/>
      <c r="P80" s="193"/>
      <c r="Q80" s="122"/>
    </row>
    <row r="81" spans="1:17" s="117" customFormat="1" ht="17.5" customHeight="1" x14ac:dyDescent="0.5">
      <c r="B81" s="140"/>
      <c r="C81" s="133"/>
      <c r="D81" s="134"/>
      <c r="E81" s="133"/>
      <c r="F81" s="134"/>
      <c r="G81" s="191"/>
      <c r="H81" s="192"/>
      <c r="I81" s="192"/>
      <c r="J81" s="192"/>
      <c r="K81" s="192"/>
      <c r="L81" s="192"/>
      <c r="M81" s="192"/>
      <c r="N81" s="192"/>
      <c r="O81" s="192"/>
      <c r="P81" s="193"/>
      <c r="Q81" s="122"/>
    </row>
    <row r="82" spans="1:17" s="117" customFormat="1" ht="17.5" customHeight="1" x14ac:dyDescent="0.5">
      <c r="B82" s="140"/>
      <c r="C82" s="133"/>
      <c r="D82" s="134"/>
      <c r="E82" s="133"/>
      <c r="F82" s="134"/>
      <c r="G82" s="191"/>
      <c r="H82" s="192"/>
      <c r="I82" s="192"/>
      <c r="J82" s="192"/>
      <c r="K82" s="192"/>
      <c r="L82" s="192"/>
      <c r="M82" s="192"/>
      <c r="N82" s="192"/>
      <c r="O82" s="192"/>
      <c r="P82" s="193"/>
      <c r="Q82" s="122"/>
    </row>
    <row r="83" spans="1:17" s="117" customFormat="1" ht="17.5" customHeight="1" x14ac:dyDescent="0.5">
      <c r="B83" s="140"/>
      <c r="C83" s="133"/>
      <c r="D83" s="134"/>
      <c r="E83" s="133"/>
      <c r="F83" s="134"/>
      <c r="G83" s="191"/>
      <c r="H83" s="192"/>
      <c r="I83" s="192"/>
      <c r="J83" s="192"/>
      <c r="K83" s="192"/>
      <c r="L83" s="192"/>
      <c r="M83" s="192"/>
      <c r="N83" s="192"/>
      <c r="O83" s="192"/>
      <c r="P83" s="193"/>
      <c r="Q83" s="122"/>
    </row>
    <row r="84" spans="1:17" s="117" customFormat="1" ht="17.5" customHeight="1" x14ac:dyDescent="0.5">
      <c r="B84" s="140"/>
      <c r="C84" s="133"/>
      <c r="D84" s="134"/>
      <c r="E84" s="133"/>
      <c r="F84" s="134"/>
      <c r="G84" s="191"/>
      <c r="H84" s="192"/>
      <c r="I84" s="192"/>
      <c r="J84" s="192"/>
      <c r="K84" s="192"/>
      <c r="L84" s="192"/>
      <c r="M84" s="192"/>
      <c r="N84" s="192"/>
      <c r="O84" s="192"/>
      <c r="P84" s="193"/>
      <c r="Q84" s="122"/>
    </row>
    <row r="85" spans="1:17" s="117" customFormat="1" ht="17.5" customHeight="1" x14ac:dyDescent="0.5">
      <c r="B85" s="141"/>
      <c r="C85" s="136"/>
      <c r="D85" s="137"/>
      <c r="E85" s="136"/>
      <c r="F85" s="137"/>
      <c r="G85" s="194"/>
      <c r="H85" s="195"/>
      <c r="I85" s="195"/>
      <c r="J85" s="195"/>
      <c r="K85" s="195"/>
      <c r="L85" s="195"/>
      <c r="M85" s="195"/>
      <c r="N85" s="195"/>
      <c r="O85" s="195"/>
      <c r="P85" s="196"/>
      <c r="Q85" s="122"/>
    </row>
    <row r="86" spans="1:17" ht="22.75" customHeight="1" x14ac:dyDescent="0.4">
      <c r="B86" s="186" t="s">
        <v>27</v>
      </c>
      <c r="C86" s="186"/>
      <c r="D86" s="186"/>
      <c r="E86" s="186"/>
      <c r="F86" s="186"/>
      <c r="G86" s="186"/>
      <c r="H86" s="186"/>
      <c r="I86" s="186"/>
      <c r="J86" s="186"/>
      <c r="K86" s="186"/>
      <c r="L86" s="186"/>
      <c r="M86" s="186"/>
      <c r="N86" s="186"/>
      <c r="O86" s="186"/>
      <c r="P86" s="186"/>
    </row>
    <row r="87" spans="1:17" ht="22.75" customHeight="1" x14ac:dyDescent="0.4">
      <c r="A87" s="117"/>
      <c r="B87" s="187" t="s">
        <v>28</v>
      </c>
      <c r="C87" s="187"/>
      <c r="D87" s="187"/>
      <c r="E87" s="187"/>
      <c r="F87" s="187"/>
      <c r="G87" s="187"/>
      <c r="H87" s="187"/>
      <c r="I87" s="187"/>
      <c r="J87" s="187"/>
      <c r="K87" s="187"/>
      <c r="L87" s="187"/>
      <c r="M87" s="187"/>
      <c r="N87" s="187"/>
      <c r="O87" s="187"/>
      <c r="P87" s="187"/>
    </row>
    <row r="88" spans="1:17" ht="20.5" x14ac:dyDescent="0.4">
      <c r="A88" s="117"/>
    </row>
    <row r="89" spans="1:17" ht="20.5" x14ac:dyDescent="0.4">
      <c r="A89" s="117"/>
    </row>
    <row r="90" spans="1:17" ht="21" customHeight="1" x14ac:dyDescent="0.4">
      <c r="A90" s="117"/>
      <c r="E90" s="142"/>
      <c r="F90" s="143"/>
      <c r="G90" s="144"/>
      <c r="H90" s="145"/>
      <c r="I90" s="146"/>
      <c r="J90" s="147"/>
    </row>
    <row r="91" spans="1:17" ht="19.5" customHeight="1" x14ac:dyDescent="0.4">
      <c r="A91" s="117"/>
    </row>
    <row r="92" spans="1:17" x14ac:dyDescent="0.4">
      <c r="A92" s="114"/>
    </row>
    <row r="93" spans="1:17" ht="20.5" x14ac:dyDescent="0.4">
      <c r="A93" s="117"/>
    </row>
    <row r="94" spans="1:17" ht="20.5" x14ac:dyDescent="0.4">
      <c r="A94" s="117"/>
    </row>
    <row r="95" spans="1:17" ht="20.5" x14ac:dyDescent="0.4">
      <c r="A95" s="117"/>
    </row>
    <row r="96" spans="1:17" ht="20.5" x14ac:dyDescent="0.4">
      <c r="A96" s="117"/>
    </row>
    <row r="97" spans="1:1" ht="20.5" x14ac:dyDescent="0.4">
      <c r="A97" s="117"/>
    </row>
    <row r="98" spans="1:1" ht="20.5" x14ac:dyDescent="0.4">
      <c r="A98" s="117"/>
    </row>
    <row r="99" spans="1:1" ht="20.5" x14ac:dyDescent="0.4">
      <c r="A99" s="117"/>
    </row>
    <row r="100" spans="1:1" ht="20.5" x14ac:dyDescent="0.4">
      <c r="A100" s="117"/>
    </row>
    <row r="101" spans="1:1" ht="20.5" x14ac:dyDescent="0.4">
      <c r="A101" s="117"/>
    </row>
    <row r="102" spans="1:1" ht="20.5" x14ac:dyDescent="0.4">
      <c r="A102" s="117"/>
    </row>
    <row r="103" spans="1:1" ht="20.5" x14ac:dyDescent="0.4">
      <c r="A103" s="117"/>
    </row>
    <row r="104" spans="1:1" ht="20.5" x14ac:dyDescent="0.4">
      <c r="A104" s="117"/>
    </row>
    <row r="105" spans="1:1" x14ac:dyDescent="0.4">
      <c r="A105" s="114"/>
    </row>
    <row r="106" spans="1:1" ht="20.5" x14ac:dyDescent="0.4">
      <c r="A106" s="117"/>
    </row>
    <row r="107" spans="1:1" ht="20.5" x14ac:dyDescent="0.4">
      <c r="A107" s="117"/>
    </row>
    <row r="108" spans="1:1" ht="20.5" x14ac:dyDescent="0.4">
      <c r="A108" s="117"/>
    </row>
    <row r="109" spans="1:1" ht="20.5" x14ac:dyDescent="0.4">
      <c r="A109" s="117"/>
    </row>
    <row r="110" spans="1:1" ht="20.5" x14ac:dyDescent="0.4">
      <c r="A110" s="117"/>
    </row>
    <row r="111" spans="1:1" ht="20.5" x14ac:dyDescent="0.4">
      <c r="A111" s="117"/>
    </row>
    <row r="112" spans="1:1" ht="20.5" x14ac:dyDescent="0.4">
      <c r="A112" s="117"/>
    </row>
    <row r="113" spans="1:1" ht="20.5" x14ac:dyDescent="0.4">
      <c r="A113" s="117"/>
    </row>
    <row r="114" spans="1:1" ht="20.5" x14ac:dyDescent="0.4">
      <c r="A114" s="117"/>
    </row>
    <row r="115" spans="1:1" ht="20.5" x14ac:dyDescent="0.4">
      <c r="A115" s="117"/>
    </row>
    <row r="116" spans="1:1" ht="20.5" x14ac:dyDescent="0.4">
      <c r="A116" s="117"/>
    </row>
    <row r="117" spans="1:1" ht="20.5" x14ac:dyDescent="0.4">
      <c r="A117" s="117"/>
    </row>
    <row r="118" spans="1:1" x14ac:dyDescent="0.4">
      <c r="A118" s="114"/>
    </row>
    <row r="119" spans="1:1" ht="20.5" x14ac:dyDescent="0.4">
      <c r="A119" s="117"/>
    </row>
    <row r="120" spans="1:1" ht="20.5" x14ac:dyDescent="0.4">
      <c r="A120" s="117"/>
    </row>
    <row r="121" spans="1:1" ht="20.5" x14ac:dyDescent="0.4">
      <c r="A121" s="117"/>
    </row>
    <row r="122" spans="1:1" ht="20.5" x14ac:dyDescent="0.4">
      <c r="A122" s="117"/>
    </row>
    <row r="123" spans="1:1" ht="20.5" x14ac:dyDescent="0.4">
      <c r="A123" s="117"/>
    </row>
    <row r="124" spans="1:1" ht="20.5" x14ac:dyDescent="0.4">
      <c r="A124" s="117"/>
    </row>
    <row r="125" spans="1:1" ht="20.5" x14ac:dyDescent="0.4">
      <c r="A125" s="117"/>
    </row>
    <row r="126" spans="1:1" ht="20.5" x14ac:dyDescent="0.4">
      <c r="A126" s="117"/>
    </row>
    <row r="127" spans="1:1" ht="20.5" x14ac:dyDescent="0.4">
      <c r="A127" s="117"/>
    </row>
    <row r="128" spans="1:1" ht="20.5" x14ac:dyDescent="0.4">
      <c r="A128" s="117"/>
    </row>
    <row r="129" spans="1:1" ht="20.5" x14ac:dyDescent="0.4">
      <c r="A129" s="117"/>
    </row>
    <row r="130" spans="1:1" ht="20.5" x14ac:dyDescent="0.4">
      <c r="A130" s="117"/>
    </row>
    <row r="131" spans="1:1" x14ac:dyDescent="0.4">
      <c r="A131" s="114"/>
    </row>
    <row r="132" spans="1:1" ht="20.5" x14ac:dyDescent="0.4">
      <c r="A132" s="117"/>
    </row>
    <row r="133" spans="1:1" ht="20.5" x14ac:dyDescent="0.4">
      <c r="A133" s="117"/>
    </row>
    <row r="134" spans="1:1" ht="20.5" x14ac:dyDescent="0.4">
      <c r="A134" s="117"/>
    </row>
    <row r="135" spans="1:1" ht="20.5" x14ac:dyDescent="0.4">
      <c r="A135" s="117"/>
    </row>
    <row r="136" spans="1:1" ht="20.5" x14ac:dyDescent="0.4">
      <c r="A136" s="117"/>
    </row>
    <row r="137" spans="1:1" ht="20.5" x14ac:dyDescent="0.4">
      <c r="A137" s="117"/>
    </row>
    <row r="138" spans="1:1" ht="20.5" x14ac:dyDescent="0.4">
      <c r="A138" s="117"/>
    </row>
    <row r="139" spans="1:1" ht="20.5" x14ac:dyDescent="0.4">
      <c r="A139" s="117"/>
    </row>
    <row r="140" spans="1:1" ht="20.5" x14ac:dyDescent="0.4">
      <c r="A140" s="117"/>
    </row>
    <row r="141" spans="1:1" ht="20.5" x14ac:dyDescent="0.4">
      <c r="A141" s="117"/>
    </row>
    <row r="142" spans="1:1" ht="20.5" x14ac:dyDescent="0.4">
      <c r="A142" s="117"/>
    </row>
    <row r="143" spans="1:1" ht="20.5" x14ac:dyDescent="0.4">
      <c r="A143" s="117"/>
    </row>
    <row r="144" spans="1:1" x14ac:dyDescent="0.4">
      <c r="A144" s="114"/>
    </row>
    <row r="145" spans="1:1" ht="20.5" x14ac:dyDescent="0.4">
      <c r="A145" s="117"/>
    </row>
    <row r="146" spans="1:1" ht="20.5" x14ac:dyDescent="0.4">
      <c r="A146" s="117"/>
    </row>
    <row r="147" spans="1:1" ht="20.5" x14ac:dyDescent="0.4">
      <c r="A147" s="117"/>
    </row>
    <row r="148" spans="1:1" ht="20.5" x14ac:dyDescent="0.4">
      <c r="A148" s="117"/>
    </row>
    <row r="149" spans="1:1" ht="20.5" x14ac:dyDescent="0.4">
      <c r="A149" s="117"/>
    </row>
    <row r="150" spans="1:1" ht="20.5" x14ac:dyDescent="0.4">
      <c r="A150" s="117"/>
    </row>
    <row r="151" spans="1:1" ht="20.5" x14ac:dyDescent="0.4">
      <c r="A151" s="117"/>
    </row>
    <row r="152" spans="1:1" ht="20.5" x14ac:dyDescent="0.4">
      <c r="A152" s="117"/>
    </row>
    <row r="153" spans="1:1" ht="20.5" x14ac:dyDescent="0.4">
      <c r="A153" s="117"/>
    </row>
    <row r="154" spans="1:1" ht="20.5" x14ac:dyDescent="0.4">
      <c r="A154" s="117"/>
    </row>
    <row r="155" spans="1:1" ht="20.5" x14ac:dyDescent="0.4">
      <c r="A155" s="117"/>
    </row>
    <row r="156" spans="1:1" ht="20.5" x14ac:dyDescent="0.4">
      <c r="A156" s="117"/>
    </row>
    <row r="159" spans="1:1" ht="20.5" x14ac:dyDescent="0.4">
      <c r="A159" s="117"/>
    </row>
    <row r="160" spans="1:1" ht="20.5" x14ac:dyDescent="0.4">
      <c r="A160" s="117"/>
    </row>
    <row r="161" spans="1:1" ht="20.5" x14ac:dyDescent="0.4">
      <c r="A161" s="117"/>
    </row>
    <row r="162" spans="1:1" ht="20.5" x14ac:dyDescent="0.4">
      <c r="A162" s="117"/>
    </row>
    <row r="163" spans="1:1" x14ac:dyDescent="0.4">
      <c r="A163" s="114"/>
    </row>
    <row r="164" spans="1:1" ht="20.5" x14ac:dyDescent="0.4">
      <c r="A164" s="117"/>
    </row>
    <row r="165" spans="1:1" ht="20.5" x14ac:dyDescent="0.4">
      <c r="A165" s="117"/>
    </row>
    <row r="166" spans="1:1" ht="20.5" x14ac:dyDescent="0.4">
      <c r="A166" s="117"/>
    </row>
    <row r="167" spans="1:1" ht="20.5" x14ac:dyDescent="0.4">
      <c r="A167" s="117"/>
    </row>
    <row r="168" spans="1:1" ht="20.5" x14ac:dyDescent="0.4">
      <c r="A168" s="117"/>
    </row>
    <row r="169" spans="1:1" ht="20.5" x14ac:dyDescent="0.4">
      <c r="A169" s="117"/>
    </row>
    <row r="170" spans="1:1" ht="20.5" x14ac:dyDescent="0.4">
      <c r="A170" s="117"/>
    </row>
    <row r="171" spans="1:1" ht="20.5" x14ac:dyDescent="0.4">
      <c r="A171" s="117"/>
    </row>
    <row r="172" spans="1:1" ht="20.5" x14ac:dyDescent="0.4">
      <c r="A172" s="117"/>
    </row>
    <row r="173" spans="1:1" ht="20.5" x14ac:dyDescent="0.4">
      <c r="A173" s="117"/>
    </row>
    <row r="174" spans="1:1" ht="20.5" x14ac:dyDescent="0.4">
      <c r="A174" s="117"/>
    </row>
    <row r="175" spans="1:1" ht="20.5" x14ac:dyDescent="0.4">
      <c r="A175" s="117"/>
    </row>
    <row r="176" spans="1:1" x14ac:dyDescent="0.4">
      <c r="A176" s="114"/>
    </row>
    <row r="177" spans="1:1" ht="20.5" x14ac:dyDescent="0.4">
      <c r="A177" s="117"/>
    </row>
    <row r="178" spans="1:1" ht="20.5" x14ac:dyDescent="0.4">
      <c r="A178" s="117"/>
    </row>
    <row r="179" spans="1:1" ht="20.5" x14ac:dyDescent="0.4">
      <c r="A179" s="117"/>
    </row>
    <row r="180" spans="1:1" ht="20.5" x14ac:dyDescent="0.4">
      <c r="A180" s="117"/>
    </row>
    <row r="181" spans="1:1" ht="20.5" x14ac:dyDescent="0.4">
      <c r="A181" s="117"/>
    </row>
    <row r="182" spans="1:1" ht="20.5" x14ac:dyDescent="0.4">
      <c r="A182" s="117"/>
    </row>
    <row r="183" spans="1:1" ht="20.5" x14ac:dyDescent="0.4">
      <c r="A183" s="117"/>
    </row>
    <row r="184" spans="1:1" ht="20.5" x14ac:dyDescent="0.4">
      <c r="A184" s="117"/>
    </row>
    <row r="185" spans="1:1" ht="20.5" x14ac:dyDescent="0.4">
      <c r="A185" s="117"/>
    </row>
    <row r="186" spans="1:1" ht="20.5" x14ac:dyDescent="0.4">
      <c r="A186" s="117"/>
    </row>
    <row r="187" spans="1:1" ht="20.5" x14ac:dyDescent="0.4">
      <c r="A187" s="117"/>
    </row>
    <row r="188" spans="1:1" ht="20.5" x14ac:dyDescent="0.4">
      <c r="A188" s="117"/>
    </row>
    <row r="189" spans="1:1" x14ac:dyDescent="0.4">
      <c r="A189" s="114"/>
    </row>
    <row r="190" spans="1:1" ht="20.5" x14ac:dyDescent="0.4">
      <c r="A190" s="117"/>
    </row>
    <row r="191" spans="1:1" ht="20.5" x14ac:dyDescent="0.4">
      <c r="A191" s="117"/>
    </row>
    <row r="192" spans="1:1" ht="20.5" x14ac:dyDescent="0.4">
      <c r="A192" s="117"/>
    </row>
    <row r="193" spans="1:1" ht="20.5" x14ac:dyDescent="0.4">
      <c r="A193" s="117"/>
    </row>
    <row r="194" spans="1:1" ht="20.5" x14ac:dyDescent="0.4">
      <c r="A194" s="117"/>
    </row>
    <row r="195" spans="1:1" ht="20.5" x14ac:dyDescent="0.4">
      <c r="A195" s="117"/>
    </row>
    <row r="196" spans="1:1" ht="20.5" x14ac:dyDescent="0.4">
      <c r="A196" s="117"/>
    </row>
    <row r="197" spans="1:1" ht="20.5" x14ac:dyDescent="0.4">
      <c r="A197" s="117"/>
    </row>
    <row r="198" spans="1:1" ht="20.5" x14ac:dyDescent="0.4">
      <c r="A198" s="117"/>
    </row>
    <row r="199" spans="1:1" ht="20.5" x14ac:dyDescent="0.4">
      <c r="A199" s="117"/>
    </row>
    <row r="200" spans="1:1" ht="20.5" x14ac:dyDescent="0.4">
      <c r="A200" s="117"/>
    </row>
    <row r="201" spans="1:1" ht="20.5" x14ac:dyDescent="0.4">
      <c r="A201" s="117"/>
    </row>
    <row r="202" spans="1:1" x14ac:dyDescent="0.4">
      <c r="A202" s="114"/>
    </row>
    <row r="203" spans="1:1" ht="20.5" x14ac:dyDescent="0.4">
      <c r="A203" s="117"/>
    </row>
    <row r="204" spans="1:1" ht="20.5" x14ac:dyDescent="0.4">
      <c r="A204" s="117"/>
    </row>
    <row r="205" spans="1:1" ht="20.5" x14ac:dyDescent="0.4">
      <c r="A205" s="117"/>
    </row>
    <row r="206" spans="1:1" ht="20.5" x14ac:dyDescent="0.4">
      <c r="A206" s="117"/>
    </row>
    <row r="207" spans="1:1" ht="20.5" x14ac:dyDescent="0.4">
      <c r="A207" s="117"/>
    </row>
    <row r="208" spans="1:1" ht="20.5" x14ac:dyDescent="0.4">
      <c r="A208" s="117"/>
    </row>
    <row r="209" spans="1:1" ht="20.5" x14ac:dyDescent="0.4">
      <c r="A209" s="117"/>
    </row>
    <row r="210" spans="1:1" ht="20.5" x14ac:dyDescent="0.4">
      <c r="A210" s="117"/>
    </row>
    <row r="211" spans="1:1" ht="20.5" x14ac:dyDescent="0.4">
      <c r="A211" s="117"/>
    </row>
    <row r="212" spans="1:1" ht="20.5" x14ac:dyDescent="0.4">
      <c r="A212" s="117"/>
    </row>
    <row r="213" spans="1:1" ht="20.5" x14ac:dyDescent="0.4">
      <c r="A213" s="117"/>
    </row>
    <row r="214" spans="1:1" ht="20.5" x14ac:dyDescent="0.4">
      <c r="A214" s="117"/>
    </row>
    <row r="215" spans="1:1" x14ac:dyDescent="0.4">
      <c r="A215" s="114"/>
    </row>
    <row r="216" spans="1:1" ht="20.5" x14ac:dyDescent="0.4">
      <c r="A216" s="117"/>
    </row>
    <row r="217" spans="1:1" ht="20.5" x14ac:dyDescent="0.4">
      <c r="A217" s="117"/>
    </row>
    <row r="218" spans="1:1" ht="20.5" x14ac:dyDescent="0.4">
      <c r="A218" s="117"/>
    </row>
    <row r="219" spans="1:1" ht="20.5" x14ac:dyDescent="0.4">
      <c r="A219" s="117"/>
    </row>
    <row r="220" spans="1:1" ht="20.5" x14ac:dyDescent="0.4">
      <c r="A220" s="117"/>
    </row>
    <row r="221" spans="1:1" ht="20.5" x14ac:dyDescent="0.4">
      <c r="A221" s="117"/>
    </row>
    <row r="222" spans="1:1" ht="20.5" x14ac:dyDescent="0.4">
      <c r="A222" s="117"/>
    </row>
    <row r="223" spans="1:1" ht="20.5" x14ac:dyDescent="0.4">
      <c r="A223" s="117"/>
    </row>
    <row r="224" spans="1:1" ht="20.5" x14ac:dyDescent="0.4">
      <c r="A224" s="117"/>
    </row>
    <row r="225" spans="1:1" ht="20.5" x14ac:dyDescent="0.4">
      <c r="A225" s="117"/>
    </row>
    <row r="226" spans="1:1" ht="20.5" x14ac:dyDescent="0.4">
      <c r="A226" s="117"/>
    </row>
    <row r="227" spans="1:1" ht="20.5" x14ac:dyDescent="0.4">
      <c r="A227" s="117"/>
    </row>
    <row r="231" spans="1:1" ht="20.5" x14ac:dyDescent="0.4">
      <c r="A231" s="117"/>
    </row>
    <row r="232" spans="1:1" ht="20.5" x14ac:dyDescent="0.4">
      <c r="A232" s="117"/>
    </row>
    <row r="233" spans="1:1" ht="20.5" x14ac:dyDescent="0.4">
      <c r="A233" s="117"/>
    </row>
    <row r="234" spans="1:1" ht="20.5" x14ac:dyDescent="0.4">
      <c r="A234" s="117"/>
    </row>
    <row r="235" spans="1:1" ht="20.5" x14ac:dyDescent="0.4">
      <c r="A235" s="117"/>
    </row>
    <row r="236" spans="1:1" ht="20.5" x14ac:dyDescent="0.4">
      <c r="A236" s="117"/>
    </row>
    <row r="237" spans="1:1" ht="20.5" x14ac:dyDescent="0.4">
      <c r="A237" s="117"/>
    </row>
    <row r="238" spans="1:1" x14ac:dyDescent="0.4">
      <c r="A238" s="114"/>
    </row>
    <row r="239" spans="1:1" ht="20.5" x14ac:dyDescent="0.4">
      <c r="A239" s="117"/>
    </row>
    <row r="240" spans="1:1" ht="20.5" x14ac:dyDescent="0.4">
      <c r="A240" s="117"/>
    </row>
    <row r="241" spans="1:1" ht="20.5" x14ac:dyDescent="0.4">
      <c r="A241" s="117"/>
    </row>
    <row r="242" spans="1:1" ht="20.5" x14ac:dyDescent="0.4">
      <c r="A242" s="117"/>
    </row>
    <row r="243" spans="1:1" ht="20.5" x14ac:dyDescent="0.4">
      <c r="A243" s="117"/>
    </row>
    <row r="244" spans="1:1" ht="20.5" x14ac:dyDescent="0.4">
      <c r="A244" s="117"/>
    </row>
    <row r="245" spans="1:1" ht="20.5" x14ac:dyDescent="0.4">
      <c r="A245" s="117"/>
    </row>
    <row r="246" spans="1:1" ht="20.5" x14ac:dyDescent="0.4">
      <c r="A246" s="117"/>
    </row>
    <row r="247" spans="1:1" ht="20.5" x14ac:dyDescent="0.4">
      <c r="A247" s="117"/>
    </row>
    <row r="248" spans="1:1" ht="20.5" x14ac:dyDescent="0.4">
      <c r="A248" s="117"/>
    </row>
    <row r="249" spans="1:1" ht="20.5" x14ac:dyDescent="0.4">
      <c r="A249" s="117"/>
    </row>
    <row r="250" spans="1:1" ht="20.5" x14ac:dyDescent="0.4">
      <c r="A250" s="117"/>
    </row>
    <row r="251" spans="1:1" x14ac:dyDescent="0.4">
      <c r="A251" s="114"/>
    </row>
    <row r="252" spans="1:1" ht="20.5" x14ac:dyDescent="0.4">
      <c r="A252" s="117"/>
    </row>
    <row r="253" spans="1:1" ht="20.5" x14ac:dyDescent="0.4">
      <c r="A253" s="117"/>
    </row>
    <row r="254" spans="1:1" ht="20.5" x14ac:dyDescent="0.4">
      <c r="A254" s="117"/>
    </row>
    <row r="255" spans="1:1" ht="20.5" x14ac:dyDescent="0.4">
      <c r="A255" s="117"/>
    </row>
    <row r="256" spans="1:1" ht="20.5" x14ac:dyDescent="0.4">
      <c r="A256" s="117"/>
    </row>
    <row r="257" spans="1:1" ht="20.5" x14ac:dyDescent="0.4">
      <c r="A257" s="117"/>
    </row>
    <row r="258" spans="1:1" ht="20.5" x14ac:dyDescent="0.4">
      <c r="A258" s="117"/>
    </row>
    <row r="259" spans="1:1" ht="20.5" x14ac:dyDescent="0.4">
      <c r="A259" s="117"/>
    </row>
    <row r="260" spans="1:1" ht="20.5" x14ac:dyDescent="0.4">
      <c r="A260" s="117"/>
    </row>
    <row r="261" spans="1:1" ht="20.5" x14ac:dyDescent="0.4">
      <c r="A261" s="117"/>
    </row>
    <row r="262" spans="1:1" ht="20.5" x14ac:dyDescent="0.4">
      <c r="A262" s="117"/>
    </row>
    <row r="263" spans="1:1" ht="20.5" x14ac:dyDescent="0.4">
      <c r="A263" s="117"/>
    </row>
    <row r="264" spans="1:1" x14ac:dyDescent="0.4">
      <c r="A264" s="114"/>
    </row>
    <row r="265" spans="1:1" ht="20.5" x14ac:dyDescent="0.4">
      <c r="A265" s="117"/>
    </row>
    <row r="266" spans="1:1" ht="20.5" x14ac:dyDescent="0.4">
      <c r="A266" s="117"/>
    </row>
    <row r="267" spans="1:1" ht="20.5" x14ac:dyDescent="0.4">
      <c r="A267" s="117"/>
    </row>
    <row r="268" spans="1:1" ht="20.5" x14ac:dyDescent="0.4">
      <c r="A268" s="117"/>
    </row>
    <row r="269" spans="1:1" ht="20.5" x14ac:dyDescent="0.4">
      <c r="A269" s="117"/>
    </row>
    <row r="270" spans="1:1" ht="20.5" x14ac:dyDescent="0.4">
      <c r="A270" s="117"/>
    </row>
    <row r="271" spans="1:1" ht="20.5" x14ac:dyDescent="0.4">
      <c r="A271" s="117"/>
    </row>
    <row r="272" spans="1:1" ht="20.5" x14ac:dyDescent="0.4">
      <c r="A272" s="117"/>
    </row>
    <row r="273" spans="1:1" ht="20.5" x14ac:dyDescent="0.4">
      <c r="A273" s="117"/>
    </row>
    <row r="274" spans="1:1" ht="20.5" x14ac:dyDescent="0.4">
      <c r="A274" s="117"/>
    </row>
    <row r="275" spans="1:1" ht="20.5" x14ac:dyDescent="0.4">
      <c r="A275" s="117"/>
    </row>
    <row r="276" spans="1:1" ht="20.5" x14ac:dyDescent="0.4">
      <c r="A276" s="117"/>
    </row>
    <row r="277" spans="1:1" x14ac:dyDescent="0.4">
      <c r="A277" s="114"/>
    </row>
    <row r="278" spans="1:1" ht="20.5" x14ac:dyDescent="0.4">
      <c r="A278" s="117"/>
    </row>
    <row r="279" spans="1:1" ht="20.5" x14ac:dyDescent="0.4">
      <c r="A279" s="117"/>
    </row>
    <row r="280" spans="1:1" ht="20.5" x14ac:dyDescent="0.4">
      <c r="A280" s="117"/>
    </row>
    <row r="281" spans="1:1" ht="20.5" x14ac:dyDescent="0.4">
      <c r="A281" s="117"/>
    </row>
    <row r="282" spans="1:1" ht="20.5" x14ac:dyDescent="0.4">
      <c r="A282" s="117"/>
    </row>
    <row r="283" spans="1:1" ht="20.5" x14ac:dyDescent="0.4">
      <c r="A283" s="117"/>
    </row>
    <row r="284" spans="1:1" ht="20.5" x14ac:dyDescent="0.4">
      <c r="A284" s="117"/>
    </row>
    <row r="285" spans="1:1" ht="20.5" x14ac:dyDescent="0.4">
      <c r="A285" s="117"/>
    </row>
    <row r="286" spans="1:1" ht="20.5" x14ac:dyDescent="0.4">
      <c r="A286" s="117"/>
    </row>
    <row r="287" spans="1:1" ht="20.5" x14ac:dyDescent="0.4">
      <c r="A287" s="117"/>
    </row>
    <row r="288" spans="1:1" ht="20.5" x14ac:dyDescent="0.4">
      <c r="A288" s="117"/>
    </row>
    <row r="289" spans="1:1" ht="20.5" x14ac:dyDescent="0.4">
      <c r="A289" s="117"/>
    </row>
    <row r="290" spans="1:1" x14ac:dyDescent="0.4">
      <c r="A290" s="114"/>
    </row>
    <row r="291" spans="1:1" ht="20.5" x14ac:dyDescent="0.4">
      <c r="A291" s="117"/>
    </row>
    <row r="292" spans="1:1" ht="20.5" x14ac:dyDescent="0.4">
      <c r="A292" s="117"/>
    </row>
    <row r="293" spans="1:1" ht="20.5" x14ac:dyDescent="0.4">
      <c r="A293" s="117"/>
    </row>
    <row r="294" spans="1:1" ht="20.5" x14ac:dyDescent="0.4">
      <c r="A294" s="117"/>
    </row>
    <row r="295" spans="1:1" ht="20.5" x14ac:dyDescent="0.4">
      <c r="A295" s="117"/>
    </row>
    <row r="296" spans="1:1" ht="20.5" x14ac:dyDescent="0.4">
      <c r="A296" s="117"/>
    </row>
    <row r="297" spans="1:1" ht="20.5" x14ac:dyDescent="0.4">
      <c r="A297" s="117"/>
    </row>
    <row r="298" spans="1:1" ht="20.5" x14ac:dyDescent="0.4">
      <c r="A298" s="117"/>
    </row>
    <row r="299" spans="1:1" ht="20.5" x14ac:dyDescent="0.4">
      <c r="A299" s="117"/>
    </row>
    <row r="300" spans="1:1" ht="20.5" x14ac:dyDescent="0.4">
      <c r="A300" s="117"/>
    </row>
    <row r="301" spans="1:1" ht="20.5" x14ac:dyDescent="0.4">
      <c r="A301" s="117"/>
    </row>
    <row r="302" spans="1:1" ht="20.5" x14ac:dyDescent="0.4">
      <c r="A302" s="117"/>
    </row>
  </sheetData>
  <mergeCells count="7">
    <mergeCell ref="BK4:BN5"/>
    <mergeCell ref="CB6:CC6"/>
    <mergeCell ref="B86:P86"/>
    <mergeCell ref="B87:P87"/>
    <mergeCell ref="G74:P85"/>
    <mergeCell ref="B4:C5"/>
    <mergeCell ref="G6:H6"/>
  </mergeCells>
  <printOptions horizontalCentered="1" verticalCentered="1"/>
  <pageMargins left="0.2" right="0.2" top="0.25" bottom="0.25" header="0" footer="0"/>
  <pageSetup scale="34" orientation="landscape" r:id="rId1"/>
  <headerFooter scaleWithDoc="0"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theme="0" tint="-0.34998626667073579"/>
    <pageSetUpPr fitToPage="1"/>
  </sheetPr>
  <dimension ref="A1:CJ302"/>
  <sheetViews>
    <sheetView showGridLines="0" tabSelected="1" topLeftCell="A19" zoomScale="50" zoomScaleNormal="50" workbookViewId="0">
      <selection activeCell="K23" sqref="K23"/>
    </sheetView>
  </sheetViews>
  <sheetFormatPr defaultColWidth="6.69140625" defaultRowHeight="14" x14ac:dyDescent="0.3"/>
  <cols>
    <col min="1" max="1" width="5.53515625" style="1" customWidth="1"/>
    <col min="2" max="2" width="18.07421875" style="1" bestFit="1" customWidth="1"/>
    <col min="3" max="3" width="24.23046875" style="1" customWidth="1"/>
    <col min="4" max="4" width="7.4609375" style="14" customWidth="1"/>
    <col min="5" max="5" width="24.23046875" style="1" customWidth="1"/>
    <col min="6" max="6" width="7.4609375" style="14" customWidth="1"/>
    <col min="7" max="7" width="24.23046875" style="1" customWidth="1"/>
    <col min="8" max="8" width="7.4609375" style="14" customWidth="1"/>
    <col min="9" max="9" width="27.15234375" style="1" customWidth="1"/>
    <col min="10" max="10" width="7.4609375" style="14" customWidth="1"/>
    <col min="11" max="11" width="24.23046875" style="1" customWidth="1"/>
    <col min="12" max="12" width="7.4609375" style="14" customWidth="1"/>
    <col min="13" max="13" width="24.23046875" style="1" customWidth="1"/>
    <col min="14" max="14" width="7.4609375" style="14" customWidth="1"/>
    <col min="15" max="15" width="24.23046875" style="1" customWidth="1"/>
    <col min="16" max="16" width="7.4609375" style="14" customWidth="1"/>
    <col min="17" max="17" width="13.3046875" style="1" customWidth="1"/>
    <col min="18" max="18" width="31.3046875" style="1" customWidth="1"/>
    <col min="19" max="19" width="11.84375" style="1" customWidth="1"/>
    <col min="20" max="20" width="11.3046875" style="1" customWidth="1"/>
    <col min="21" max="16384" width="6.69140625" style="1"/>
  </cols>
  <sheetData>
    <row r="1" spans="1:88" ht="49.75" customHeight="1" x14ac:dyDescent="0.3">
      <c r="R1" s="46"/>
      <c r="S1" s="46"/>
    </row>
    <row r="2" spans="1:88" ht="13.75" customHeight="1" x14ac:dyDescent="0.3">
      <c r="R2" s="46"/>
      <c r="S2" s="46"/>
    </row>
    <row r="3" spans="1:88" ht="19.399999999999999" customHeight="1" x14ac:dyDescent="0.3">
      <c r="B3" s="9"/>
      <c r="R3" s="46"/>
      <c r="S3" s="46"/>
      <c r="BB3" s="9"/>
      <c r="BC3" s="9"/>
      <c r="BD3" s="9"/>
    </row>
    <row r="4" spans="1:88" ht="43.75" customHeight="1" x14ac:dyDescent="0.65">
      <c r="B4" s="172"/>
      <c r="C4" s="172"/>
      <c r="R4" s="46"/>
      <c r="S4" s="46"/>
      <c r="BB4" s="9"/>
      <c r="BC4" s="9"/>
      <c r="BD4" s="9"/>
      <c r="BK4" s="160"/>
      <c r="BL4" s="160"/>
      <c r="BM4" s="160"/>
      <c r="BN4" s="160"/>
      <c r="CG4" s="11"/>
      <c r="CH4" s="13"/>
      <c r="CI4" s="11"/>
    </row>
    <row r="5" spans="1:88" ht="30" customHeight="1" x14ac:dyDescent="0.65">
      <c r="B5" s="172"/>
      <c r="C5" s="172"/>
      <c r="D5" s="15"/>
      <c r="F5" s="15"/>
      <c r="H5" s="15"/>
      <c r="I5" s="9"/>
      <c r="J5" s="15"/>
      <c r="K5" s="9"/>
      <c r="L5" s="15"/>
      <c r="M5" s="9"/>
      <c r="N5" s="15"/>
      <c r="O5" s="9"/>
      <c r="P5" s="15"/>
      <c r="R5" s="44"/>
      <c r="S5" s="44"/>
      <c r="BB5" s="9"/>
      <c r="BC5" s="9"/>
      <c r="BD5" s="9"/>
      <c r="BH5" s="9"/>
      <c r="BI5" s="9"/>
      <c r="BJ5" s="9"/>
      <c r="BK5" s="160"/>
      <c r="BL5" s="160"/>
      <c r="BM5" s="160"/>
      <c r="BN5" s="160"/>
      <c r="BO5" s="9"/>
      <c r="BP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12"/>
      <c r="CH5" s="12"/>
      <c r="CI5" s="12"/>
      <c r="CJ5" s="9"/>
    </row>
    <row r="6" spans="1:88" ht="48.65" customHeight="1" x14ac:dyDescent="0.65">
      <c r="F6" s="16"/>
      <c r="G6" s="173" t="s">
        <v>25</v>
      </c>
      <c r="H6" s="173"/>
      <c r="I6" s="59" t="str">
        <f>UPPER(TEXT(DATE(CalendarYear,1,1)," yyyy"))</f>
        <v xml:space="preserve"> 2021</v>
      </c>
      <c r="J6" s="16"/>
      <c r="K6" s="156" t="s">
        <v>81</v>
      </c>
      <c r="L6" s="156"/>
      <c r="M6" s="157"/>
      <c r="N6" s="16"/>
      <c r="R6" s="43"/>
      <c r="S6" s="43"/>
      <c r="BO6" s="7"/>
      <c r="BP6" s="8"/>
      <c r="BR6" s="7"/>
      <c r="BS6" s="8"/>
      <c r="BT6" s="7"/>
      <c r="BU6" s="7"/>
      <c r="BV6" s="8"/>
      <c r="BW6" s="7"/>
      <c r="BX6" s="7"/>
      <c r="BY6" s="8"/>
      <c r="CA6" s="7"/>
      <c r="CB6" s="161"/>
      <c r="CC6" s="161"/>
      <c r="CD6" s="10"/>
      <c r="CE6" s="8"/>
      <c r="CG6" s="11"/>
      <c r="CH6" s="11"/>
      <c r="CI6" s="11"/>
    </row>
    <row r="7" spans="1:88" customFormat="1" ht="26.25" customHeight="1" x14ac:dyDescent="0.3">
      <c r="A7" s="1"/>
      <c r="B7" s="20"/>
      <c r="C7" s="60" t="s">
        <v>7</v>
      </c>
      <c r="D7" s="60"/>
      <c r="E7" s="60" t="s">
        <v>8</v>
      </c>
      <c r="F7" s="60"/>
      <c r="G7" s="60" t="s">
        <v>9</v>
      </c>
      <c r="H7" s="60"/>
      <c r="I7" s="60" t="s">
        <v>10</v>
      </c>
      <c r="J7" s="60"/>
      <c r="K7" s="60" t="s">
        <v>11</v>
      </c>
      <c r="L7" s="60"/>
      <c r="M7" s="60" t="s">
        <v>12</v>
      </c>
      <c r="N7" s="60"/>
      <c r="O7" s="60" t="s">
        <v>13</v>
      </c>
      <c r="P7" s="45"/>
      <c r="Q7" s="1"/>
      <c r="S7" s="1"/>
      <c r="T7" s="6"/>
      <c r="X7" s="1"/>
      <c r="Y7" s="1"/>
    </row>
    <row r="8" spans="1:88" s="51" customFormat="1" ht="18" customHeight="1" x14ac:dyDescent="0.3">
      <c r="B8" s="52"/>
      <c r="C8" s="55" t="str">
        <f>IF(DAY(DecSun1)=1,"",IF(AND(YEAR(DecSun1+1)=CalendarYear,MONTH(DecSun1+1)=12),DecSun1+1,""))</f>
        <v/>
      </c>
      <c r="D8" s="61" t="s">
        <v>29</v>
      </c>
      <c r="E8" s="55" t="str">
        <f>IF(DAY(DecSun1)=1,"",IF(AND(YEAR(DecSun1+2)=CalendarYear,MONTH(DecSun1+2)=12),DecSun1+2,""))</f>
        <v/>
      </c>
      <c r="F8" s="61" t="s">
        <v>29</v>
      </c>
      <c r="G8" s="56">
        <f>IF(DAY(DecSun1)=1,"",IF(AND(YEAR(DecSun1+3)=CalendarYear,MONTH(DecSun1+3)=12),DecSun1+3,""))</f>
        <v>44531</v>
      </c>
      <c r="H8" s="61" t="s">
        <v>29</v>
      </c>
      <c r="I8" s="56">
        <f>IF(DAY(DecSun1)=1,"",IF(AND(YEAR(DecSun1+4)=CalendarYear,MONTH(DecSun1+4)=12),DecSun1+4,""))</f>
        <v>44532</v>
      </c>
      <c r="J8" s="61" t="s">
        <v>29</v>
      </c>
      <c r="K8" s="56">
        <f>IF(DAY(DecSun1)=1,"",IF(AND(YEAR(DecSun1+5)=CalendarYear,MONTH(DecSun1+5)=12),DecSun1+5,""))</f>
        <v>44533</v>
      </c>
      <c r="L8" s="61" t="s">
        <v>29</v>
      </c>
      <c r="M8" s="56">
        <f>IF(DAY(DecSun1)=1,"",IF(AND(YEAR(DecSun1+6)=CalendarYear,MONTH(DecSun1+6)=12),DecSun1+6,""))</f>
        <v>44534</v>
      </c>
      <c r="N8" s="61" t="s">
        <v>29</v>
      </c>
      <c r="O8" s="56">
        <f>IF(DAY(DecSun1)=1,IF(AND(YEAR(DecSun1)=CalendarYear,MONTH(DecSun1)=12),DecSun1,""),IF(AND(YEAR(DecSun1+7)=CalendarYear,MONTH(DecSun1+7)=12),DecSun1+7,""))</f>
        <v>44535</v>
      </c>
      <c r="P8" s="61" t="s">
        <v>29</v>
      </c>
      <c r="Q8" s="47"/>
      <c r="T8" s="53"/>
      <c r="U8" s="54"/>
    </row>
    <row r="9" spans="1:88" s="23" customFormat="1" ht="17.5" customHeight="1" x14ac:dyDescent="0.5">
      <c r="B9" s="118" t="s">
        <v>37</v>
      </c>
      <c r="C9" s="25"/>
      <c r="D9" s="26"/>
      <c r="E9" s="25"/>
      <c r="F9" s="26"/>
      <c r="G9" s="121" t="s">
        <v>97</v>
      </c>
      <c r="H9" s="120"/>
      <c r="I9" s="121" t="s">
        <v>46</v>
      </c>
      <c r="J9" s="120"/>
      <c r="K9" s="121" t="s">
        <v>65</v>
      </c>
      <c r="L9" s="26"/>
      <c r="M9" s="121" t="s">
        <v>30</v>
      </c>
      <c r="N9" s="120"/>
      <c r="O9" s="121" t="s">
        <v>30</v>
      </c>
      <c r="P9" s="26"/>
      <c r="Q9" s="22"/>
    </row>
    <row r="10" spans="1:88" s="23" customFormat="1" ht="17.5" customHeight="1" x14ac:dyDescent="0.5">
      <c r="B10" s="118"/>
      <c r="C10" s="28"/>
      <c r="D10" s="29"/>
      <c r="E10" s="28"/>
      <c r="F10" s="29"/>
      <c r="G10" s="125"/>
      <c r="H10" s="124"/>
      <c r="I10" s="125"/>
      <c r="J10" s="124"/>
      <c r="K10" s="125"/>
      <c r="L10" s="29"/>
      <c r="M10" s="125"/>
      <c r="N10" s="124"/>
      <c r="O10" s="125"/>
      <c r="P10" s="29"/>
      <c r="Q10" s="22"/>
    </row>
    <row r="11" spans="1:88" s="23" customFormat="1" ht="17.5" customHeight="1" x14ac:dyDescent="0.5">
      <c r="B11" s="118"/>
      <c r="C11" s="28"/>
      <c r="D11" s="29"/>
      <c r="E11" s="28"/>
      <c r="F11" s="29"/>
      <c r="G11" s="125" t="s">
        <v>79</v>
      </c>
      <c r="H11" s="124"/>
      <c r="I11" s="125" t="s">
        <v>48</v>
      </c>
      <c r="J11" s="124"/>
      <c r="K11" s="125" t="s">
        <v>53</v>
      </c>
      <c r="L11" s="29"/>
      <c r="M11" s="125" t="s">
        <v>30</v>
      </c>
      <c r="N11" s="124"/>
      <c r="O11" s="125" t="s">
        <v>30</v>
      </c>
      <c r="P11" s="29"/>
      <c r="Q11" s="22"/>
    </row>
    <row r="12" spans="1:88" s="23" customFormat="1" ht="17.5" customHeight="1" x14ac:dyDescent="0.5">
      <c r="B12" s="118"/>
      <c r="C12" s="28"/>
      <c r="D12" s="29"/>
      <c r="E12" s="28"/>
      <c r="F12" s="29"/>
      <c r="G12" s="125"/>
      <c r="H12" s="124"/>
      <c r="I12" s="125"/>
      <c r="J12" s="124"/>
      <c r="K12" s="125"/>
      <c r="L12" s="29"/>
      <c r="M12" s="125"/>
      <c r="N12" s="124"/>
      <c r="O12" s="125"/>
      <c r="P12" s="29"/>
      <c r="Q12" s="22"/>
    </row>
    <row r="13" spans="1:88" s="23" customFormat="1" ht="17.5" customHeight="1" x14ac:dyDescent="0.5">
      <c r="B13" s="118"/>
      <c r="C13" s="28"/>
      <c r="D13" s="29"/>
      <c r="E13" s="28"/>
      <c r="F13" s="29"/>
      <c r="G13" s="125" t="s">
        <v>68</v>
      </c>
      <c r="H13" s="124"/>
      <c r="I13" s="125" t="s">
        <v>88</v>
      </c>
      <c r="J13" s="124"/>
      <c r="K13" s="125" t="s">
        <v>100</v>
      </c>
      <c r="L13" s="29"/>
      <c r="M13" s="125" t="s">
        <v>30</v>
      </c>
      <c r="N13" s="124"/>
      <c r="O13" s="125" t="s">
        <v>30</v>
      </c>
      <c r="P13" s="29"/>
      <c r="Q13" s="22"/>
    </row>
    <row r="14" spans="1:88" s="23" customFormat="1" ht="17.5" customHeight="1" x14ac:dyDescent="0.5">
      <c r="B14" s="118"/>
      <c r="C14" s="28"/>
      <c r="D14" s="29"/>
      <c r="E14" s="28"/>
      <c r="F14" s="29"/>
      <c r="G14" s="125"/>
      <c r="H14" s="124"/>
      <c r="I14" s="125"/>
      <c r="J14" s="124"/>
      <c r="K14" s="125"/>
      <c r="L14" s="29"/>
      <c r="M14" s="125"/>
      <c r="N14" s="124"/>
      <c r="O14" s="125"/>
      <c r="P14" s="29"/>
      <c r="Q14" s="22"/>
    </row>
    <row r="15" spans="1:88" s="23" customFormat="1" ht="17.5" customHeight="1" x14ac:dyDescent="0.5">
      <c r="B15" s="118"/>
      <c r="C15" s="28"/>
      <c r="D15" s="29"/>
      <c r="E15" s="28"/>
      <c r="F15" s="29"/>
      <c r="G15" s="125" t="s">
        <v>98</v>
      </c>
      <c r="H15" s="124"/>
      <c r="I15" s="125" t="s">
        <v>54</v>
      </c>
      <c r="J15" s="124"/>
      <c r="K15" s="125" t="s">
        <v>87</v>
      </c>
      <c r="L15" s="29"/>
      <c r="M15" s="125" t="s">
        <v>30</v>
      </c>
      <c r="N15" s="124"/>
      <c r="O15" s="125" t="s">
        <v>30</v>
      </c>
      <c r="P15" s="29"/>
      <c r="Q15" s="22"/>
    </row>
    <row r="16" spans="1:88" s="23" customFormat="1" ht="17.5" customHeight="1" x14ac:dyDescent="0.5">
      <c r="B16" s="118"/>
      <c r="C16" s="28"/>
      <c r="D16" s="29"/>
      <c r="E16" s="28"/>
      <c r="F16" s="29"/>
      <c r="G16" s="125"/>
      <c r="H16" s="124"/>
      <c r="I16" s="125"/>
      <c r="J16" s="124"/>
      <c r="K16" s="125"/>
      <c r="L16" s="29"/>
      <c r="M16" s="125"/>
      <c r="N16" s="124"/>
      <c r="O16" s="125"/>
      <c r="P16" s="29"/>
      <c r="Q16" s="22"/>
    </row>
    <row r="17" spans="2:21" s="23" customFormat="1" ht="17.5" customHeight="1" x14ac:dyDescent="0.5">
      <c r="B17" s="118"/>
      <c r="C17" s="28"/>
      <c r="D17" s="29"/>
      <c r="E17" s="28"/>
      <c r="F17" s="29"/>
      <c r="G17" s="125" t="s">
        <v>42</v>
      </c>
      <c r="H17" s="124"/>
      <c r="I17" s="125" t="s">
        <v>42</v>
      </c>
      <c r="J17" s="124"/>
      <c r="K17" s="125" t="s">
        <v>95</v>
      </c>
      <c r="L17" s="29"/>
      <c r="M17" s="125" t="s">
        <v>30</v>
      </c>
      <c r="N17" s="124"/>
      <c r="O17" s="125" t="s">
        <v>30</v>
      </c>
      <c r="P17" s="29"/>
      <c r="Q17" s="22"/>
    </row>
    <row r="18" spans="2:21" s="23" customFormat="1" ht="17.5" customHeight="1" x14ac:dyDescent="0.5">
      <c r="B18" s="126"/>
      <c r="C18" s="71"/>
      <c r="D18" s="72"/>
      <c r="E18" s="71"/>
      <c r="F18" s="72"/>
      <c r="G18" s="152"/>
      <c r="H18" s="151"/>
      <c r="I18" s="152"/>
      <c r="J18" s="151"/>
      <c r="K18" s="152"/>
      <c r="L18" s="72"/>
      <c r="M18" s="152"/>
      <c r="N18" s="151"/>
      <c r="O18" s="152"/>
      <c r="P18" s="72"/>
      <c r="Q18" s="22"/>
    </row>
    <row r="19" spans="2:21" s="23" customFormat="1" ht="17.5" customHeight="1" x14ac:dyDescent="0.5">
      <c r="B19" s="126" t="s">
        <v>43</v>
      </c>
      <c r="C19" s="71"/>
      <c r="D19" s="72"/>
      <c r="E19" s="71"/>
      <c r="F19" s="72"/>
      <c r="G19" s="152" t="s">
        <v>73</v>
      </c>
      <c r="H19" s="151"/>
      <c r="I19" s="152" t="s">
        <v>74</v>
      </c>
      <c r="J19" s="151"/>
      <c r="K19" s="152" t="s">
        <v>59</v>
      </c>
      <c r="L19" s="72"/>
      <c r="M19" s="152" t="s">
        <v>30</v>
      </c>
      <c r="N19" s="151"/>
      <c r="O19" s="152" t="s">
        <v>30</v>
      </c>
      <c r="P19" s="72"/>
      <c r="Q19" s="22"/>
    </row>
    <row r="20" spans="2:21" s="23" customFormat="1" ht="17.5" customHeight="1" x14ac:dyDescent="0.5">
      <c r="B20" s="127"/>
      <c r="C20" s="76"/>
      <c r="D20" s="77"/>
      <c r="E20" s="76"/>
      <c r="F20" s="77"/>
      <c r="G20" s="155" t="s">
        <v>99</v>
      </c>
      <c r="H20" s="154"/>
      <c r="I20" s="155" t="s">
        <v>34</v>
      </c>
      <c r="J20" s="154"/>
      <c r="K20" s="155" t="s">
        <v>91</v>
      </c>
      <c r="L20" s="77"/>
      <c r="M20" s="155" t="s">
        <v>30</v>
      </c>
      <c r="N20" s="154"/>
      <c r="O20" s="155" t="s">
        <v>30</v>
      </c>
      <c r="P20" s="77"/>
      <c r="Q20" s="22"/>
    </row>
    <row r="21" spans="2:21" s="51" customFormat="1" ht="18" customHeight="1" x14ac:dyDescent="0.3">
      <c r="B21" s="129"/>
      <c r="C21" s="55">
        <f>IF(DAY(DecSun1)=1,IF(AND(YEAR(DecSun1+1)=CalendarYear,MONTH(DecSun1+1)=12),DecSun1+1,""),IF(AND(YEAR(DecSun1+8)=CalendarYear,MONTH(DecSun1+8)=12),DecSun1+8,""))</f>
        <v>44536</v>
      </c>
      <c r="D21" s="61" t="s">
        <v>29</v>
      </c>
      <c r="E21" s="55">
        <f>IF(DAY(DecSun1)=1,IF(AND(YEAR(DecSun1+2)=CalendarYear,MONTH(DecSun1+2)=12),DecSun1+2,""),IF(AND(YEAR(DecSun1+9)=CalendarYear,MONTH(DecSun1+9)=12),DecSun1+9,""))</f>
        <v>44537</v>
      </c>
      <c r="F21" s="61" t="s">
        <v>29</v>
      </c>
      <c r="G21" s="56">
        <f>IF(DAY(DecSun1)=1,IF(AND(YEAR(DecSun1+3)=CalendarYear,MONTH(DecSun1+3)=12),DecSun1+3,""),IF(AND(YEAR(DecSun1+10)=CalendarYear,MONTH(DecSun1+10)=12),DecSun1+10,""))</f>
        <v>44538</v>
      </c>
      <c r="H21" s="61" t="s">
        <v>29</v>
      </c>
      <c r="I21" s="56">
        <f>IF(DAY(DecSun1)=1,IF(AND(YEAR(DecSun1+4)=CalendarYear,MONTH(DecSun1+4)=12),DecSun1+4,""),IF(AND(YEAR(DecSun1+11)=CalendarYear,MONTH(DecSun1+11)=12),DecSun1+11,""))</f>
        <v>44539</v>
      </c>
      <c r="J21" s="61" t="s">
        <v>29</v>
      </c>
      <c r="K21" s="56">
        <f>IF(DAY(DecSun1)=1,IF(AND(YEAR(DecSun1+5)=CalendarYear,MONTH(DecSun1+5)=12),DecSun1+5,""),IF(AND(YEAR(DecSun1+12)=CalendarYear,MONTH(DecSun1+12)=12),DecSun1+12,""))</f>
        <v>44540</v>
      </c>
      <c r="L21" s="61" t="s">
        <v>29</v>
      </c>
      <c r="M21" s="56">
        <f>IF(DAY(DecSun1)=1,IF(AND(YEAR(DecSun1+6)=CalendarYear,MONTH(DecSun1+6)=12),DecSun1+6,""),IF(AND(YEAR(DecSun1+13)=CalendarYear,MONTH(DecSun1+13)=12),DecSun1+13,""))</f>
        <v>44541</v>
      </c>
      <c r="N21" s="61" t="s">
        <v>29</v>
      </c>
      <c r="O21" s="56">
        <f>IF(DAY(DecSun1)=1,IF(AND(YEAR(DecSun1+7)=CalendarYear,MONTH(DecSun1+7)=12),DecSun1+7,""),IF(AND(YEAR(DecSun1+14)=CalendarYear,MONTH(DecSun1+14)=12),DecSun1+14,""))</f>
        <v>44542</v>
      </c>
      <c r="P21" s="61" t="s">
        <v>29</v>
      </c>
      <c r="Q21" s="47"/>
      <c r="T21" s="53"/>
      <c r="U21" s="54"/>
    </row>
    <row r="22" spans="2:21" s="23" customFormat="1" ht="17.5" customHeight="1" x14ac:dyDescent="0.5">
      <c r="B22" s="118" t="s">
        <v>37</v>
      </c>
      <c r="C22" s="119" t="s">
        <v>45</v>
      </c>
      <c r="D22" s="120"/>
      <c r="E22" s="119" t="s">
        <v>65</v>
      </c>
      <c r="F22" s="120"/>
      <c r="G22" s="121" t="s">
        <v>85</v>
      </c>
      <c r="H22" s="120"/>
      <c r="I22" s="121" t="s">
        <v>52</v>
      </c>
      <c r="J22" s="120"/>
      <c r="K22" s="121" t="s">
        <v>110</v>
      </c>
      <c r="L22" s="120"/>
      <c r="M22" s="121" t="s">
        <v>30</v>
      </c>
      <c r="N22" s="120"/>
      <c r="O22" s="121" t="s">
        <v>30</v>
      </c>
      <c r="P22" s="35"/>
      <c r="Q22" s="22"/>
    </row>
    <row r="23" spans="2:21" s="23" customFormat="1" ht="17.5" customHeight="1" x14ac:dyDescent="0.5">
      <c r="B23" s="118"/>
      <c r="C23" s="123"/>
      <c r="D23" s="124"/>
      <c r="E23" s="123"/>
      <c r="F23" s="124"/>
      <c r="G23" s="125"/>
      <c r="H23" s="124"/>
      <c r="I23" s="125"/>
      <c r="J23" s="124"/>
      <c r="K23" s="125"/>
      <c r="L23" s="124"/>
      <c r="M23" s="125"/>
      <c r="N23" s="124"/>
      <c r="O23" s="125"/>
      <c r="P23" s="38"/>
      <c r="Q23" s="22"/>
    </row>
    <row r="24" spans="2:21" s="23" customFormat="1" ht="17.5" customHeight="1" x14ac:dyDescent="0.5">
      <c r="B24" s="118"/>
      <c r="C24" s="123" t="s">
        <v>54</v>
      </c>
      <c r="D24" s="124"/>
      <c r="E24" s="123" t="s">
        <v>41</v>
      </c>
      <c r="F24" s="124"/>
      <c r="G24" s="125" t="s">
        <v>86</v>
      </c>
      <c r="H24" s="124"/>
      <c r="I24" s="125" t="s">
        <v>79</v>
      </c>
      <c r="J24" s="124"/>
      <c r="K24" s="125" t="s">
        <v>68</v>
      </c>
      <c r="L24" s="124"/>
      <c r="M24" s="125" t="s">
        <v>30</v>
      </c>
      <c r="N24" s="124"/>
      <c r="O24" s="125" t="s">
        <v>30</v>
      </c>
      <c r="P24" s="38"/>
      <c r="Q24" s="22"/>
    </row>
    <row r="25" spans="2:21" s="23" customFormat="1" ht="17.5" customHeight="1" x14ac:dyDescent="0.5">
      <c r="B25" s="118"/>
      <c r="C25" s="123"/>
      <c r="D25" s="124"/>
      <c r="E25" s="123"/>
      <c r="F25" s="124"/>
      <c r="G25" s="125"/>
      <c r="H25" s="124"/>
      <c r="I25" s="125"/>
      <c r="J25" s="124"/>
      <c r="K25" s="125"/>
      <c r="L25" s="124"/>
      <c r="M25" s="125"/>
      <c r="N25" s="124"/>
      <c r="O25" s="125"/>
      <c r="P25" s="38"/>
      <c r="Q25" s="22"/>
    </row>
    <row r="26" spans="2:21" s="23" customFormat="1" ht="17.5" customHeight="1" x14ac:dyDescent="0.5">
      <c r="B26" s="118"/>
      <c r="C26" s="123" t="s">
        <v>48</v>
      </c>
      <c r="D26" s="124"/>
      <c r="E26" s="123" t="s">
        <v>53</v>
      </c>
      <c r="F26" s="124"/>
      <c r="G26" s="125" t="s">
        <v>88</v>
      </c>
      <c r="H26" s="124"/>
      <c r="I26" s="125" t="s">
        <v>66</v>
      </c>
      <c r="J26" s="124"/>
      <c r="K26" s="125" t="s">
        <v>88</v>
      </c>
      <c r="L26" s="124"/>
      <c r="M26" s="125" t="s">
        <v>30</v>
      </c>
      <c r="N26" s="124"/>
      <c r="O26" s="125" t="s">
        <v>30</v>
      </c>
      <c r="P26" s="38"/>
      <c r="Q26" s="22"/>
    </row>
    <row r="27" spans="2:21" s="23" customFormat="1" ht="17.5" customHeight="1" x14ac:dyDescent="0.5">
      <c r="B27" s="118"/>
      <c r="C27" s="123"/>
      <c r="D27" s="124"/>
      <c r="E27" s="123"/>
      <c r="F27" s="124"/>
      <c r="G27" s="125"/>
      <c r="H27" s="124"/>
      <c r="I27" s="125"/>
      <c r="J27" s="124"/>
      <c r="K27" s="125"/>
      <c r="L27" s="124"/>
      <c r="M27" s="125"/>
      <c r="N27" s="124"/>
      <c r="O27" s="125"/>
      <c r="P27" s="38"/>
      <c r="Q27" s="22"/>
    </row>
    <row r="28" spans="2:21" s="23" customFormat="1" ht="17.5" customHeight="1" x14ac:dyDescent="0.5">
      <c r="B28" s="118"/>
      <c r="C28" s="123" t="s">
        <v>82</v>
      </c>
      <c r="D28" s="124"/>
      <c r="E28" s="123" t="s">
        <v>66</v>
      </c>
      <c r="F28" s="124"/>
      <c r="G28" s="125" t="s">
        <v>87</v>
      </c>
      <c r="H28" s="124"/>
      <c r="I28" s="125" t="s">
        <v>41</v>
      </c>
      <c r="J28" s="124"/>
      <c r="K28" s="125" t="s">
        <v>53</v>
      </c>
      <c r="L28" s="124"/>
      <c r="M28" s="125" t="s">
        <v>30</v>
      </c>
      <c r="N28" s="124"/>
      <c r="O28" s="125" t="s">
        <v>30</v>
      </c>
      <c r="P28" s="38"/>
      <c r="Q28" s="22"/>
    </row>
    <row r="29" spans="2:21" s="23" customFormat="1" ht="17.5" customHeight="1" x14ac:dyDescent="0.5">
      <c r="B29" s="118"/>
      <c r="C29" s="123"/>
      <c r="D29" s="124"/>
      <c r="E29" s="123"/>
      <c r="F29" s="124"/>
      <c r="G29" s="125"/>
      <c r="H29" s="124"/>
      <c r="I29" s="125"/>
      <c r="J29" s="124"/>
      <c r="K29" s="125"/>
      <c r="L29" s="124"/>
      <c r="M29" s="125"/>
      <c r="N29" s="124"/>
      <c r="O29" s="125"/>
      <c r="P29" s="38"/>
      <c r="Q29" s="22"/>
    </row>
    <row r="30" spans="2:21" s="23" customFormat="1" ht="17.5" customHeight="1" x14ac:dyDescent="0.5">
      <c r="B30" s="118"/>
      <c r="C30" s="123" t="s">
        <v>42</v>
      </c>
      <c r="D30" s="124"/>
      <c r="E30" s="123" t="s">
        <v>49</v>
      </c>
      <c r="F30" s="124"/>
      <c r="G30" s="125" t="s">
        <v>42</v>
      </c>
      <c r="H30" s="124"/>
      <c r="I30" s="125" t="s">
        <v>58</v>
      </c>
      <c r="J30" s="124"/>
      <c r="K30" s="125" t="s">
        <v>42</v>
      </c>
      <c r="L30" s="124"/>
      <c r="M30" s="125" t="s">
        <v>30</v>
      </c>
      <c r="N30" s="124"/>
      <c r="O30" s="125" t="s">
        <v>30</v>
      </c>
      <c r="P30" s="38"/>
      <c r="Q30" s="22"/>
    </row>
    <row r="31" spans="2:21" s="23" customFormat="1" ht="17.5" customHeight="1" x14ac:dyDescent="0.5">
      <c r="B31" s="126"/>
      <c r="C31" s="150"/>
      <c r="D31" s="151"/>
      <c r="E31" s="150"/>
      <c r="F31" s="151"/>
      <c r="G31" s="152"/>
      <c r="H31" s="151"/>
      <c r="I31" s="152"/>
      <c r="J31" s="151"/>
      <c r="K31" s="152"/>
      <c r="L31" s="151"/>
      <c r="M31" s="152"/>
      <c r="N31" s="151"/>
      <c r="O31" s="152"/>
      <c r="P31" s="72"/>
      <c r="Q31" s="22"/>
    </row>
    <row r="32" spans="2:21" s="23" customFormat="1" ht="17.5" customHeight="1" x14ac:dyDescent="0.5">
      <c r="B32" s="126" t="s">
        <v>43</v>
      </c>
      <c r="C32" s="150" t="s">
        <v>83</v>
      </c>
      <c r="D32" s="151"/>
      <c r="E32" s="150" t="s">
        <v>73</v>
      </c>
      <c r="F32" s="151"/>
      <c r="G32" s="152" t="s">
        <v>108</v>
      </c>
      <c r="H32" s="151"/>
      <c r="I32" s="152" t="s">
        <v>59</v>
      </c>
      <c r="J32" s="151"/>
      <c r="K32" s="152" t="s">
        <v>44</v>
      </c>
      <c r="L32" s="151"/>
      <c r="M32" s="152" t="s">
        <v>30</v>
      </c>
      <c r="N32" s="151"/>
      <c r="O32" s="152" t="s">
        <v>30</v>
      </c>
      <c r="P32" s="72"/>
      <c r="Q32" s="22"/>
    </row>
    <row r="33" spans="2:21" s="23" customFormat="1" ht="17.5" customHeight="1" x14ac:dyDescent="0.5">
      <c r="B33" s="127"/>
      <c r="C33" s="153" t="s">
        <v>34</v>
      </c>
      <c r="D33" s="154"/>
      <c r="E33" s="153" t="s">
        <v>31</v>
      </c>
      <c r="F33" s="154"/>
      <c r="G33" s="155" t="s">
        <v>60</v>
      </c>
      <c r="H33" s="154"/>
      <c r="I33" s="155" t="s">
        <v>34</v>
      </c>
      <c r="J33" s="154"/>
      <c r="K33" s="155" t="s">
        <v>91</v>
      </c>
      <c r="L33" s="154"/>
      <c r="M33" s="155" t="s">
        <v>30</v>
      </c>
      <c r="N33" s="154"/>
      <c r="O33" s="155" t="s">
        <v>30</v>
      </c>
      <c r="P33" s="77"/>
      <c r="Q33" s="22"/>
    </row>
    <row r="34" spans="2:21" s="51" customFormat="1" ht="18" customHeight="1" x14ac:dyDescent="0.3">
      <c r="B34" s="129"/>
      <c r="C34" s="55">
        <f>IF(DAY(DecSun1)=1,IF(AND(YEAR(DecSun1+8)=CalendarYear,MONTH(DecSun1+8)=12),DecSun1+8,""),IF(AND(YEAR(DecSun1+15)=CalendarYear,MONTH(DecSun1+15)=12),DecSun1+15,""))</f>
        <v>44543</v>
      </c>
      <c r="D34" s="61" t="s">
        <v>29</v>
      </c>
      <c r="E34" s="55">
        <f>IF(DAY(DecSun1)=1,IF(AND(YEAR(DecSun1+9)=CalendarYear,MONTH(DecSun1+9)=12),DecSun1+9,""),IF(AND(YEAR(DecSun1+16)=CalendarYear,MONTH(DecSun1+16)=12),DecSun1+16,""))</f>
        <v>44544</v>
      </c>
      <c r="F34" s="61" t="s">
        <v>29</v>
      </c>
      <c r="G34" s="56">
        <f>IF(DAY(DecSun1)=1,IF(AND(YEAR(DecSun1+10)=CalendarYear,MONTH(DecSun1+10)=12),DecSun1+10,""),IF(AND(YEAR(DecSun1+17)=CalendarYear,MONTH(DecSun1+17)=12),DecSun1+17,""))</f>
        <v>44545</v>
      </c>
      <c r="H34" s="61" t="s">
        <v>29</v>
      </c>
      <c r="I34" s="56">
        <f>IF(DAY(DecSun1)=1,IF(AND(YEAR(DecSun1+11)=CalendarYear,MONTH(DecSun1+11)=12),DecSun1+11,""),IF(AND(YEAR(DecSun1+18)=CalendarYear,MONTH(DecSun1+18)=12),DecSun1+18,""))</f>
        <v>44546</v>
      </c>
      <c r="J34" s="61" t="s">
        <v>29</v>
      </c>
      <c r="K34" s="56">
        <f>IF(DAY(DecSun1)=1,IF(AND(YEAR(DecSun1+12)=CalendarYear,MONTH(DecSun1+12)=12),DecSun1+12,""),IF(AND(YEAR(DecSun1+19)=CalendarYear,MONTH(DecSun1+19)=12),DecSun1+19,""))</f>
        <v>44547</v>
      </c>
      <c r="L34" s="61" t="s">
        <v>29</v>
      </c>
      <c r="M34" s="56">
        <f>IF(DAY(DecSun1)=1,IF(AND(YEAR(DecSun1+13)=CalendarYear,MONTH(DecSun1+13)=12),DecSun1+13,""),IF(AND(YEAR(DecSun1+20)=CalendarYear,MONTH(DecSun1+20)=12),DecSun1+20,""))</f>
        <v>44548</v>
      </c>
      <c r="N34" s="61" t="s">
        <v>29</v>
      </c>
      <c r="O34" s="56">
        <f>IF(DAY(DecSun1)=1,IF(AND(YEAR(DecSun1+14)=CalendarYear,MONTH(DecSun1+14)=12),DecSun1+14,""),IF(AND(YEAR(DecSun1+21)=CalendarYear,MONTH(DecSun1+21)=12),DecSun1+21,""))</f>
        <v>44549</v>
      </c>
      <c r="P34" s="61" t="s">
        <v>29</v>
      </c>
      <c r="Q34" s="47"/>
      <c r="T34" s="53"/>
      <c r="U34" s="54"/>
    </row>
    <row r="35" spans="2:21" s="23" customFormat="1" ht="17.5" customHeight="1" x14ac:dyDescent="0.5">
      <c r="B35" s="118" t="s">
        <v>37</v>
      </c>
      <c r="C35" s="130" t="s">
        <v>89</v>
      </c>
      <c r="D35" s="131"/>
      <c r="E35" s="130" t="s">
        <v>52</v>
      </c>
      <c r="F35" s="131"/>
      <c r="G35" s="132" t="s">
        <v>90</v>
      </c>
      <c r="H35" s="131"/>
      <c r="I35" s="132" t="s">
        <v>92</v>
      </c>
      <c r="J35" s="131"/>
      <c r="K35" s="132" t="s">
        <v>65</v>
      </c>
      <c r="L35" s="131"/>
      <c r="M35" s="132" t="s">
        <v>30</v>
      </c>
      <c r="N35" s="131"/>
      <c r="O35" s="132" t="s">
        <v>30</v>
      </c>
      <c r="P35" s="26"/>
      <c r="Q35" s="22"/>
    </row>
    <row r="36" spans="2:21" s="23" customFormat="1" ht="17.5" customHeight="1" x14ac:dyDescent="0.5">
      <c r="B36" s="118"/>
      <c r="C36" s="133"/>
      <c r="D36" s="134"/>
      <c r="E36" s="133"/>
      <c r="F36" s="134"/>
      <c r="G36" s="135"/>
      <c r="H36" s="134"/>
      <c r="I36" s="135"/>
      <c r="J36" s="134"/>
      <c r="K36" s="135"/>
      <c r="L36" s="134"/>
      <c r="M36" s="135"/>
      <c r="N36" s="134"/>
      <c r="O36" s="135"/>
      <c r="P36" s="29"/>
      <c r="Q36" s="22"/>
    </row>
    <row r="37" spans="2:21" s="23" customFormat="1" ht="17.5" customHeight="1" x14ac:dyDescent="0.5">
      <c r="B37" s="118"/>
      <c r="C37" s="133" t="s">
        <v>41</v>
      </c>
      <c r="D37" s="134"/>
      <c r="E37" s="133" t="s">
        <v>79</v>
      </c>
      <c r="F37" s="134"/>
      <c r="G37" s="135" t="s">
        <v>48</v>
      </c>
      <c r="H37" s="134"/>
      <c r="I37" s="135" t="s">
        <v>79</v>
      </c>
      <c r="J37" s="134"/>
      <c r="K37" s="135" t="s">
        <v>48</v>
      </c>
      <c r="L37" s="134"/>
      <c r="M37" s="135" t="s">
        <v>30</v>
      </c>
      <c r="N37" s="134"/>
      <c r="O37" s="135" t="s">
        <v>30</v>
      </c>
      <c r="P37" s="29"/>
      <c r="Q37" s="22"/>
    </row>
    <row r="38" spans="2:21" s="23" customFormat="1" ht="17.5" customHeight="1" x14ac:dyDescent="0.5">
      <c r="B38" s="118"/>
      <c r="C38" s="133"/>
      <c r="D38" s="134"/>
      <c r="E38" s="133"/>
      <c r="F38" s="134"/>
      <c r="G38" s="135"/>
      <c r="H38" s="134"/>
      <c r="I38" s="135"/>
      <c r="J38" s="134"/>
      <c r="K38" s="135"/>
      <c r="L38" s="134"/>
      <c r="M38" s="135"/>
      <c r="N38" s="134"/>
      <c r="O38" s="135"/>
      <c r="P38" s="29"/>
      <c r="Q38" s="22"/>
    </row>
    <row r="39" spans="2:21" s="23" customFormat="1" ht="17.5" customHeight="1" x14ac:dyDescent="0.5">
      <c r="B39" s="118"/>
      <c r="C39" s="133" t="s">
        <v>40</v>
      </c>
      <c r="D39" s="134"/>
      <c r="E39" s="133" t="s">
        <v>88</v>
      </c>
      <c r="F39" s="134"/>
      <c r="G39" s="135" t="s">
        <v>82</v>
      </c>
      <c r="H39" s="134"/>
      <c r="I39" s="135" t="s">
        <v>88</v>
      </c>
      <c r="J39" s="134"/>
      <c r="K39" s="135" t="s">
        <v>54</v>
      </c>
      <c r="L39" s="134"/>
      <c r="M39" s="135" t="s">
        <v>30</v>
      </c>
      <c r="N39" s="134"/>
      <c r="O39" s="135" t="s">
        <v>30</v>
      </c>
      <c r="P39" s="29"/>
      <c r="Q39" s="22"/>
    </row>
    <row r="40" spans="2:21" s="23" customFormat="1" ht="17.5" customHeight="1" x14ac:dyDescent="0.5">
      <c r="B40" s="118"/>
      <c r="C40" s="133"/>
      <c r="D40" s="134"/>
      <c r="E40" s="133"/>
      <c r="F40" s="134"/>
      <c r="G40" s="135"/>
      <c r="H40" s="134"/>
      <c r="I40" s="135"/>
      <c r="J40" s="134"/>
      <c r="K40" s="135"/>
      <c r="L40" s="134"/>
      <c r="M40" s="135"/>
      <c r="N40" s="134"/>
      <c r="O40" s="135"/>
      <c r="P40" s="29"/>
      <c r="Q40" s="22"/>
    </row>
    <row r="41" spans="2:21" s="23" customFormat="1" ht="17.5" customHeight="1" x14ac:dyDescent="0.5">
      <c r="B41" s="118"/>
      <c r="C41" s="133" t="s">
        <v>87</v>
      </c>
      <c r="D41" s="134"/>
      <c r="E41" s="133" t="s">
        <v>66</v>
      </c>
      <c r="F41" s="134"/>
      <c r="G41" s="135" t="s">
        <v>41</v>
      </c>
      <c r="H41" s="134"/>
      <c r="I41" s="135" t="s">
        <v>56</v>
      </c>
      <c r="J41" s="134"/>
      <c r="K41" s="135" t="s">
        <v>66</v>
      </c>
      <c r="L41" s="134"/>
      <c r="M41" s="135" t="s">
        <v>30</v>
      </c>
      <c r="N41" s="134"/>
      <c r="O41" s="135" t="s">
        <v>30</v>
      </c>
      <c r="P41" s="29"/>
      <c r="Q41" s="22"/>
    </row>
    <row r="42" spans="2:21" s="23" customFormat="1" ht="17.5" customHeight="1" x14ac:dyDescent="0.5">
      <c r="B42" s="118"/>
      <c r="C42" s="133"/>
      <c r="D42" s="134"/>
      <c r="E42" s="133"/>
      <c r="F42" s="134"/>
      <c r="G42" s="135"/>
      <c r="H42" s="134"/>
      <c r="I42" s="135"/>
      <c r="J42" s="134"/>
      <c r="K42" s="135"/>
      <c r="L42" s="134"/>
      <c r="M42" s="135"/>
      <c r="N42" s="134"/>
      <c r="O42" s="135"/>
      <c r="P42" s="29"/>
      <c r="Q42" s="22"/>
    </row>
    <row r="43" spans="2:21" s="23" customFormat="1" ht="17.5" customHeight="1" x14ac:dyDescent="0.5">
      <c r="B43" s="118"/>
      <c r="C43" s="133" t="s">
        <v>42</v>
      </c>
      <c r="D43" s="134"/>
      <c r="E43" s="133" t="s">
        <v>49</v>
      </c>
      <c r="F43" s="134"/>
      <c r="G43" s="135" t="s">
        <v>42</v>
      </c>
      <c r="H43" s="134"/>
      <c r="I43" s="135" t="s">
        <v>42</v>
      </c>
      <c r="J43" s="134"/>
      <c r="K43" s="135" t="s">
        <v>95</v>
      </c>
      <c r="L43" s="134"/>
      <c r="M43" s="135" t="s">
        <v>30</v>
      </c>
      <c r="N43" s="134"/>
      <c r="O43" s="135" t="s">
        <v>30</v>
      </c>
      <c r="P43" s="29"/>
      <c r="Q43" s="22"/>
    </row>
    <row r="44" spans="2:21" s="23" customFormat="1" ht="17.5" customHeight="1" x14ac:dyDescent="0.5">
      <c r="B44" s="126"/>
      <c r="C44" s="150"/>
      <c r="D44" s="151"/>
      <c r="E44" s="150"/>
      <c r="F44" s="151"/>
      <c r="G44" s="152"/>
      <c r="H44" s="151"/>
      <c r="I44" s="152"/>
      <c r="J44" s="151"/>
      <c r="K44" s="152"/>
      <c r="L44" s="151"/>
      <c r="M44" s="152"/>
      <c r="N44" s="151"/>
      <c r="O44" s="152"/>
      <c r="P44" s="72"/>
      <c r="Q44" s="22"/>
    </row>
    <row r="45" spans="2:21" s="23" customFormat="1" ht="17.5" customHeight="1" x14ac:dyDescent="0.5">
      <c r="B45" s="126" t="s">
        <v>43</v>
      </c>
      <c r="C45" s="150" t="s">
        <v>33</v>
      </c>
      <c r="D45" s="151"/>
      <c r="E45" s="150" t="s">
        <v>73</v>
      </c>
      <c r="F45" s="151"/>
      <c r="G45" s="152" t="s">
        <v>44</v>
      </c>
      <c r="H45" s="151"/>
      <c r="I45" s="152" t="s">
        <v>93</v>
      </c>
      <c r="J45" s="151"/>
      <c r="K45" s="152" t="s">
        <v>59</v>
      </c>
      <c r="L45" s="151"/>
      <c r="M45" s="152" t="s">
        <v>30</v>
      </c>
      <c r="N45" s="151"/>
      <c r="O45" s="152" t="s">
        <v>30</v>
      </c>
      <c r="P45" s="72"/>
      <c r="Q45" s="22"/>
    </row>
    <row r="46" spans="2:21" s="23" customFormat="1" ht="17.5" customHeight="1" x14ac:dyDescent="0.5">
      <c r="B46" s="127"/>
      <c r="C46" s="153" t="s">
        <v>31</v>
      </c>
      <c r="D46" s="154"/>
      <c r="E46" s="153" t="s">
        <v>31</v>
      </c>
      <c r="F46" s="154"/>
      <c r="G46" s="155" t="s">
        <v>91</v>
      </c>
      <c r="H46" s="154"/>
      <c r="I46" s="155" t="s">
        <v>31</v>
      </c>
      <c r="J46" s="154"/>
      <c r="K46" s="155" t="s">
        <v>94</v>
      </c>
      <c r="L46" s="154"/>
      <c r="M46" s="155" t="s">
        <v>30</v>
      </c>
      <c r="N46" s="154"/>
      <c r="O46" s="155" t="s">
        <v>30</v>
      </c>
      <c r="P46" s="77"/>
      <c r="Q46" s="22"/>
    </row>
    <row r="47" spans="2:21" s="51" customFormat="1" ht="18" customHeight="1" x14ac:dyDescent="0.3">
      <c r="B47" s="129"/>
      <c r="C47" s="55">
        <f>IF(DAY(DecSun1)=1,IF(AND(YEAR(DecSun1+15)=CalendarYear,MONTH(DecSun1+15)=12),DecSun1+15,""),IF(AND(YEAR(DecSun1+22)=CalendarYear,MONTH(DecSun1+22)=12),DecSun1+22,""))</f>
        <v>44550</v>
      </c>
      <c r="D47" s="61" t="s">
        <v>29</v>
      </c>
      <c r="E47" s="55">
        <f>IF(DAY(DecSun1)=1,IF(AND(YEAR(DecSun1+16)=CalendarYear,MONTH(DecSun1+16)=12),DecSun1+16,""),IF(AND(YEAR(DecSun1+23)=CalendarYear,MONTH(DecSun1+23)=12),DecSun1+23,""))</f>
        <v>44551</v>
      </c>
      <c r="F47" s="61" t="s">
        <v>29</v>
      </c>
      <c r="G47" s="56">
        <f>IF(DAY(DecSun1)=1,IF(AND(YEAR(DecSun1+17)=CalendarYear,MONTH(DecSun1+17)=12),DecSun1+17,""),IF(AND(YEAR(DecSun1+24)=CalendarYear,MONTH(DecSun1+24)=12),DecSun1+24,""))</f>
        <v>44552</v>
      </c>
      <c r="H47" s="61" t="s">
        <v>29</v>
      </c>
      <c r="I47" s="56">
        <f>IF(DAY(DecSun1)=1,IF(AND(YEAR(DecSun1+18)=CalendarYear,MONTH(DecSun1+18)=12),DecSun1+18,""),IF(AND(YEAR(DecSun1+25)=CalendarYear,MONTH(DecSun1+25)=12),DecSun1+25,""))</f>
        <v>44553</v>
      </c>
      <c r="J47" s="61" t="s">
        <v>29</v>
      </c>
      <c r="K47" s="56">
        <f>IF(DAY(DecSun1)=1,IF(AND(YEAR(DecSun1+19)=CalendarYear,MONTH(DecSun1+19)=12),DecSun1+19,""),IF(AND(YEAR(DecSun1+26)=CalendarYear,MONTH(DecSun1+26)=12),DecSun1+26,""))</f>
        <v>44554</v>
      </c>
      <c r="L47" s="61" t="s">
        <v>29</v>
      </c>
      <c r="M47" s="56">
        <f>IF(DAY(DecSun1)=1,IF(AND(YEAR(DecSun1+20)=CalendarYear,MONTH(DecSun1+20)=12),DecSun1+20,""),IF(AND(YEAR(DecSun1+27)=CalendarYear,MONTH(DecSun1+27)=12),DecSun1+27,""))</f>
        <v>44555</v>
      </c>
      <c r="N47" s="61" t="s">
        <v>29</v>
      </c>
      <c r="O47" s="56">
        <f>IF(DAY(DecSun1)=1,IF(AND(YEAR(DecSun1+21)=CalendarYear,MONTH(DecSun1+21)=12),DecSun1+21,""),IF(AND(YEAR(DecSun1+28)=CalendarYear,MONTH(DecSun1+28)=12),DecSun1+28,""))</f>
        <v>44556</v>
      </c>
      <c r="P47" s="61" t="s">
        <v>29</v>
      </c>
      <c r="Q47" s="47"/>
      <c r="T47" s="53"/>
      <c r="U47" s="54"/>
    </row>
    <row r="48" spans="2:21" s="23" customFormat="1" ht="17.5" customHeight="1" x14ac:dyDescent="0.5">
      <c r="B48" s="118" t="s">
        <v>37</v>
      </c>
      <c r="C48" s="119" t="s">
        <v>38</v>
      </c>
      <c r="D48" s="120"/>
      <c r="E48" s="119" t="s">
        <v>52</v>
      </c>
      <c r="F48" s="120"/>
      <c r="G48" s="121" t="s">
        <v>97</v>
      </c>
      <c r="H48" s="120"/>
      <c r="I48" s="121" t="s">
        <v>46</v>
      </c>
      <c r="J48" s="120"/>
      <c r="K48" s="121" t="s">
        <v>65</v>
      </c>
      <c r="L48" s="120"/>
      <c r="M48" s="121" t="s">
        <v>30</v>
      </c>
      <c r="N48" s="120"/>
      <c r="O48" s="121" t="s">
        <v>30</v>
      </c>
      <c r="P48" s="35"/>
      <c r="Q48" s="22"/>
    </row>
    <row r="49" spans="2:21" s="23" customFormat="1" ht="17.5" customHeight="1" x14ac:dyDescent="0.5">
      <c r="B49" s="118"/>
      <c r="C49" s="123"/>
      <c r="D49" s="124"/>
      <c r="E49" s="123"/>
      <c r="F49" s="124"/>
      <c r="G49" s="125"/>
      <c r="H49" s="124"/>
      <c r="I49" s="125"/>
      <c r="J49" s="124"/>
      <c r="K49" s="125"/>
      <c r="L49" s="124"/>
      <c r="M49" s="125"/>
      <c r="N49" s="124"/>
      <c r="O49" s="125"/>
      <c r="P49" s="38"/>
      <c r="Q49" s="22"/>
    </row>
    <row r="50" spans="2:21" s="23" customFormat="1" ht="17.5" customHeight="1" x14ac:dyDescent="0.5">
      <c r="B50" s="118"/>
      <c r="C50" s="123" t="s">
        <v>54</v>
      </c>
      <c r="D50" s="124"/>
      <c r="E50" s="123" t="s">
        <v>41</v>
      </c>
      <c r="F50" s="124"/>
      <c r="G50" s="125" t="s">
        <v>79</v>
      </c>
      <c r="H50" s="124"/>
      <c r="I50" s="125" t="s">
        <v>48</v>
      </c>
      <c r="J50" s="124"/>
      <c r="K50" s="125" t="s">
        <v>53</v>
      </c>
      <c r="L50" s="124"/>
      <c r="M50" s="125" t="s">
        <v>30</v>
      </c>
      <c r="N50" s="124"/>
      <c r="O50" s="125" t="s">
        <v>30</v>
      </c>
      <c r="P50" s="38"/>
      <c r="Q50" s="22"/>
    </row>
    <row r="51" spans="2:21" s="23" customFormat="1" ht="17.5" customHeight="1" x14ac:dyDescent="0.5">
      <c r="B51" s="118"/>
      <c r="C51" s="123"/>
      <c r="D51" s="124"/>
      <c r="E51" s="123"/>
      <c r="F51" s="124"/>
      <c r="G51" s="125"/>
      <c r="H51" s="124"/>
      <c r="I51" s="125"/>
      <c r="J51" s="124"/>
      <c r="K51" s="125"/>
      <c r="L51" s="124"/>
      <c r="M51" s="125"/>
      <c r="N51" s="124"/>
      <c r="O51" s="125"/>
      <c r="P51" s="38"/>
      <c r="Q51" s="22"/>
    </row>
    <row r="52" spans="2:21" s="23" customFormat="1" ht="17.5" customHeight="1" x14ac:dyDescent="0.5">
      <c r="B52" s="118"/>
      <c r="C52" s="123" t="s">
        <v>53</v>
      </c>
      <c r="D52" s="124"/>
      <c r="E52" s="123" t="s">
        <v>48</v>
      </c>
      <c r="F52" s="124"/>
      <c r="G52" s="125" t="s">
        <v>68</v>
      </c>
      <c r="H52" s="124"/>
      <c r="I52" s="125" t="s">
        <v>88</v>
      </c>
      <c r="J52" s="124"/>
      <c r="K52" s="125" t="s">
        <v>100</v>
      </c>
      <c r="L52" s="124"/>
      <c r="M52" s="125" t="s">
        <v>30</v>
      </c>
      <c r="N52" s="124"/>
      <c r="O52" s="125" t="s">
        <v>30</v>
      </c>
      <c r="P52" s="38"/>
      <c r="Q52" s="22"/>
    </row>
    <row r="53" spans="2:21" s="23" customFormat="1" ht="17.5" customHeight="1" x14ac:dyDescent="0.5">
      <c r="B53" s="118"/>
      <c r="C53" s="123"/>
      <c r="D53" s="124"/>
      <c r="E53" s="123"/>
      <c r="F53" s="124"/>
      <c r="G53" s="125"/>
      <c r="H53" s="124"/>
      <c r="I53" s="125"/>
      <c r="J53" s="124"/>
      <c r="K53" s="125"/>
      <c r="L53" s="124"/>
      <c r="M53" s="125"/>
      <c r="N53" s="124"/>
      <c r="O53" s="125"/>
      <c r="P53" s="38"/>
      <c r="Q53" s="22"/>
    </row>
    <row r="54" spans="2:21" s="23" customFormat="1" ht="17.5" customHeight="1" x14ac:dyDescent="0.5">
      <c r="B54" s="118"/>
      <c r="C54" s="123" t="s">
        <v>88</v>
      </c>
      <c r="D54" s="124"/>
      <c r="E54" s="123" t="s">
        <v>82</v>
      </c>
      <c r="F54" s="124"/>
      <c r="G54" s="125" t="s">
        <v>98</v>
      </c>
      <c r="H54" s="124"/>
      <c r="I54" s="125" t="s">
        <v>54</v>
      </c>
      <c r="J54" s="124"/>
      <c r="K54" s="125" t="s">
        <v>87</v>
      </c>
      <c r="L54" s="124"/>
      <c r="M54" s="125" t="s">
        <v>30</v>
      </c>
      <c r="N54" s="124"/>
      <c r="O54" s="125" t="s">
        <v>30</v>
      </c>
      <c r="P54" s="38"/>
      <c r="Q54" s="22"/>
    </row>
    <row r="55" spans="2:21" s="23" customFormat="1" ht="17.5" customHeight="1" x14ac:dyDescent="0.5">
      <c r="B55" s="118"/>
      <c r="C55" s="123"/>
      <c r="D55" s="124"/>
      <c r="E55" s="123"/>
      <c r="F55" s="124"/>
      <c r="G55" s="125"/>
      <c r="H55" s="124"/>
      <c r="I55" s="125"/>
      <c r="J55" s="124"/>
      <c r="K55" s="125"/>
      <c r="L55" s="124"/>
      <c r="M55" s="125"/>
      <c r="N55" s="124"/>
      <c r="O55" s="125"/>
      <c r="P55" s="38"/>
      <c r="Q55" s="22"/>
    </row>
    <row r="56" spans="2:21" s="23" customFormat="1" ht="17.5" customHeight="1" x14ac:dyDescent="0.5">
      <c r="B56" s="118"/>
      <c r="C56" s="123" t="s">
        <v>42</v>
      </c>
      <c r="D56" s="124"/>
      <c r="E56" s="123" t="s">
        <v>49</v>
      </c>
      <c r="F56" s="124"/>
      <c r="G56" s="125" t="s">
        <v>42</v>
      </c>
      <c r="H56" s="124"/>
      <c r="I56" s="125" t="s">
        <v>42</v>
      </c>
      <c r="J56" s="124"/>
      <c r="K56" s="125" t="s">
        <v>95</v>
      </c>
      <c r="L56" s="124"/>
      <c r="M56" s="125" t="s">
        <v>30</v>
      </c>
      <c r="N56" s="124"/>
      <c r="O56" s="125" t="s">
        <v>30</v>
      </c>
      <c r="P56" s="38"/>
      <c r="Q56" s="22"/>
    </row>
    <row r="57" spans="2:21" s="23" customFormat="1" ht="17.5" customHeight="1" x14ac:dyDescent="0.5">
      <c r="B57" s="126"/>
      <c r="C57" s="150"/>
      <c r="D57" s="151"/>
      <c r="E57" s="150"/>
      <c r="F57" s="151"/>
      <c r="G57" s="152"/>
      <c r="H57" s="151"/>
      <c r="I57" s="152"/>
      <c r="J57" s="151"/>
      <c r="K57" s="152"/>
      <c r="L57" s="151"/>
      <c r="M57" s="152"/>
      <c r="N57" s="151"/>
      <c r="O57" s="152"/>
      <c r="P57" s="72"/>
      <c r="Q57" s="22"/>
    </row>
    <row r="58" spans="2:21" s="23" customFormat="1" ht="17.5" customHeight="1" x14ac:dyDescent="0.5">
      <c r="B58" s="126" t="s">
        <v>43</v>
      </c>
      <c r="C58" s="150" t="s">
        <v>51</v>
      </c>
      <c r="D58" s="151"/>
      <c r="E58" s="150" t="s">
        <v>96</v>
      </c>
      <c r="F58" s="151"/>
      <c r="G58" s="152" t="s">
        <v>73</v>
      </c>
      <c r="H58" s="151"/>
      <c r="I58" s="152" t="s">
        <v>74</v>
      </c>
      <c r="J58" s="151"/>
      <c r="K58" s="152" t="s">
        <v>59</v>
      </c>
      <c r="L58" s="151"/>
      <c r="M58" s="152" t="s">
        <v>30</v>
      </c>
      <c r="N58" s="151"/>
      <c r="O58" s="152" t="s">
        <v>30</v>
      </c>
      <c r="P58" s="72"/>
      <c r="Q58" s="22"/>
    </row>
    <row r="59" spans="2:21" s="23" customFormat="1" ht="17.5" customHeight="1" x14ac:dyDescent="0.5">
      <c r="B59" s="127"/>
      <c r="C59" s="153" t="s">
        <v>31</v>
      </c>
      <c r="D59" s="154"/>
      <c r="E59" s="153" t="s">
        <v>34</v>
      </c>
      <c r="F59" s="154"/>
      <c r="G59" s="155" t="s">
        <v>99</v>
      </c>
      <c r="H59" s="154"/>
      <c r="I59" s="155" t="s">
        <v>34</v>
      </c>
      <c r="J59" s="154"/>
      <c r="K59" s="155" t="s">
        <v>91</v>
      </c>
      <c r="L59" s="154"/>
      <c r="M59" s="155" t="s">
        <v>30</v>
      </c>
      <c r="N59" s="154"/>
      <c r="O59" s="155" t="s">
        <v>30</v>
      </c>
      <c r="P59" s="77"/>
      <c r="Q59" s="22"/>
    </row>
    <row r="60" spans="2:21" s="51" customFormat="1" ht="18" customHeight="1" x14ac:dyDescent="0.3">
      <c r="B60" s="129"/>
      <c r="C60" s="55">
        <f>IF(DAY(DecSun1)=1,IF(AND(YEAR(DecSun1+22)=CalendarYear,MONTH(DecSun1+22)=12),DecSun1+22,""),IF(AND(YEAR(DecSun1+29)=CalendarYear,MONTH(DecSun1+29)=12),DecSun1+29,""))</f>
        <v>44557</v>
      </c>
      <c r="D60" s="61" t="s">
        <v>29</v>
      </c>
      <c r="E60" s="55">
        <f>IF(DAY(DecSun1)=1,IF(AND(YEAR(DecSun1+23)=CalendarYear,MONTH(DecSun1+23)=12),DecSun1+23,""),IF(AND(YEAR(DecSun1+30)=CalendarYear,MONTH(DecSun1+30)=12),DecSun1+30,""))</f>
        <v>44558</v>
      </c>
      <c r="F60" s="61" t="s">
        <v>29</v>
      </c>
      <c r="G60" s="56">
        <f>IF(DAY(DecSun1)=1,IF(AND(YEAR(DecSun1+24)=CalendarYear,MONTH(DecSun1+24)=12),DecSun1+24,""),IF(AND(YEAR(DecSun1+31)=CalendarYear,MONTH(DecSun1+31)=12),DecSun1+31,""))</f>
        <v>44559</v>
      </c>
      <c r="H60" s="61" t="s">
        <v>29</v>
      </c>
      <c r="I60" s="56">
        <f>IF(DAY(DecSun1)=1,IF(AND(YEAR(DecSun1+25)=CalendarYear,MONTH(DecSun1+25)=12),DecSun1+25,""),IF(AND(YEAR(DecSun1+32)=CalendarYear,MONTH(DecSun1+32)=12),DecSun1+32,""))</f>
        <v>44560</v>
      </c>
      <c r="J60" s="61" t="s">
        <v>29</v>
      </c>
      <c r="K60" s="56">
        <f>IF(DAY(DecSun1)=1,IF(AND(YEAR(DecSun1+26)=CalendarYear,MONTH(DecSun1+26)=12),DecSun1+26,""),IF(AND(YEAR(DecSun1+33)=CalendarYear,MONTH(DecSun1+33)=12),DecSun1+33,""))</f>
        <v>44561</v>
      </c>
      <c r="L60" s="61" t="s">
        <v>29</v>
      </c>
      <c r="M60" s="56" t="str">
        <f>IF(DAY(DecSun1)=1,IF(AND(YEAR(DecSun1+27)=CalendarYear,MONTH(DecSun1+27)=12),DecSun1+27,""),IF(AND(YEAR(DecSun1+34)=CalendarYear,MONTH(DecSun1+34)=12),DecSun1+34,""))</f>
        <v/>
      </c>
      <c r="N60" s="61" t="s">
        <v>29</v>
      </c>
      <c r="O60" s="56" t="str">
        <f>IF(DAY(DecSun1)=1,IF(AND(YEAR(DecSun1+28)=CalendarYear,MONTH(DecSun1+28)=12),DecSun1+28,""),IF(AND(YEAR(DecSun1+35)=CalendarYear,MONTH(DecSun1+35)=12),DecSun1+35,""))</f>
        <v/>
      </c>
      <c r="P60" s="61" t="s">
        <v>29</v>
      </c>
      <c r="Q60" s="47"/>
      <c r="T60" s="53"/>
      <c r="U60" s="54"/>
    </row>
    <row r="61" spans="2:21" s="23" customFormat="1" ht="17.5" customHeight="1" x14ac:dyDescent="0.5">
      <c r="B61" s="118" t="s">
        <v>37</v>
      </c>
      <c r="C61" s="130" t="s">
        <v>89</v>
      </c>
      <c r="D61" s="131"/>
      <c r="E61" s="130" t="s">
        <v>38</v>
      </c>
      <c r="F61" s="131"/>
      <c r="G61" s="132" t="s">
        <v>65</v>
      </c>
      <c r="H61" s="131"/>
      <c r="I61" s="132" t="s">
        <v>52</v>
      </c>
      <c r="J61" s="131"/>
      <c r="K61" s="132" t="s">
        <v>62</v>
      </c>
      <c r="L61" s="131"/>
      <c r="M61" s="132" t="s">
        <v>30</v>
      </c>
      <c r="N61" s="131"/>
      <c r="O61" s="132" t="s">
        <v>30</v>
      </c>
      <c r="P61" s="26"/>
      <c r="Q61" s="22"/>
    </row>
    <row r="62" spans="2:21" s="23" customFormat="1" ht="17.5" customHeight="1" x14ac:dyDescent="0.5">
      <c r="B62" s="118"/>
      <c r="C62" s="133"/>
      <c r="D62" s="134"/>
      <c r="E62" s="133"/>
      <c r="F62" s="134"/>
      <c r="G62" s="135"/>
      <c r="H62" s="134"/>
      <c r="I62" s="135"/>
      <c r="J62" s="134"/>
      <c r="K62" s="135"/>
      <c r="L62" s="134"/>
      <c r="M62" s="135"/>
      <c r="N62" s="134"/>
      <c r="O62" s="135"/>
      <c r="P62" s="29"/>
      <c r="Q62" s="22"/>
    </row>
    <row r="63" spans="2:21" s="23" customFormat="1" ht="17.5" customHeight="1" x14ac:dyDescent="0.5">
      <c r="B63" s="118"/>
      <c r="C63" s="133" t="s">
        <v>53</v>
      </c>
      <c r="D63" s="134"/>
      <c r="E63" s="133" t="s">
        <v>48</v>
      </c>
      <c r="F63" s="134"/>
      <c r="G63" s="135" t="s">
        <v>79</v>
      </c>
      <c r="H63" s="134"/>
      <c r="I63" s="135" t="s">
        <v>48</v>
      </c>
      <c r="J63" s="134"/>
      <c r="K63" s="135" t="s">
        <v>40</v>
      </c>
      <c r="L63" s="134"/>
      <c r="M63" s="135" t="s">
        <v>30</v>
      </c>
      <c r="N63" s="134"/>
      <c r="O63" s="135" t="s">
        <v>30</v>
      </c>
      <c r="P63" s="29"/>
      <c r="Q63" s="22"/>
    </row>
    <row r="64" spans="2:21" s="23" customFormat="1" ht="17.5" customHeight="1" x14ac:dyDescent="0.5">
      <c r="B64" s="118"/>
      <c r="C64" s="133"/>
      <c r="D64" s="134"/>
      <c r="E64" s="133"/>
      <c r="F64" s="134"/>
      <c r="G64" s="135"/>
      <c r="H64" s="134"/>
      <c r="I64" s="135"/>
      <c r="J64" s="134"/>
      <c r="K64" s="135"/>
      <c r="L64" s="134"/>
      <c r="M64" s="135"/>
      <c r="N64" s="134"/>
      <c r="O64" s="135"/>
      <c r="P64" s="29"/>
      <c r="Q64" s="22"/>
    </row>
    <row r="65" spans="1:21" s="23" customFormat="1" ht="17.5" customHeight="1" x14ac:dyDescent="0.5">
      <c r="B65" s="118"/>
      <c r="C65" s="133" t="s">
        <v>41</v>
      </c>
      <c r="D65" s="134"/>
      <c r="E65" s="133" t="s">
        <v>68</v>
      </c>
      <c r="F65" s="134"/>
      <c r="G65" s="135" t="s">
        <v>41</v>
      </c>
      <c r="H65" s="134"/>
      <c r="I65" s="135" t="s">
        <v>100</v>
      </c>
      <c r="J65" s="134"/>
      <c r="K65" s="135" t="s">
        <v>46</v>
      </c>
      <c r="L65" s="134"/>
      <c r="M65" s="135" t="s">
        <v>30</v>
      </c>
      <c r="N65" s="134"/>
      <c r="O65" s="135" t="s">
        <v>30</v>
      </c>
      <c r="P65" s="29"/>
      <c r="Q65" s="22"/>
    </row>
    <row r="66" spans="1:21" s="23" customFormat="1" ht="17.5" customHeight="1" x14ac:dyDescent="0.5">
      <c r="B66" s="118"/>
      <c r="C66" s="133"/>
      <c r="D66" s="134"/>
      <c r="E66" s="133"/>
      <c r="F66" s="134"/>
      <c r="G66" s="135"/>
      <c r="H66" s="134"/>
      <c r="I66" s="135"/>
      <c r="J66" s="134"/>
      <c r="K66" s="135"/>
      <c r="L66" s="134"/>
      <c r="M66" s="135"/>
      <c r="N66" s="134"/>
      <c r="O66" s="135"/>
      <c r="P66" s="29"/>
      <c r="Q66" s="22"/>
    </row>
    <row r="67" spans="1:21" s="23" customFormat="1" ht="17.5" customHeight="1" x14ac:dyDescent="0.5">
      <c r="B67" s="118"/>
      <c r="C67" s="133" t="s">
        <v>98</v>
      </c>
      <c r="D67" s="134"/>
      <c r="E67" s="133" t="s">
        <v>87</v>
      </c>
      <c r="F67" s="134"/>
      <c r="G67" s="135" t="s">
        <v>98</v>
      </c>
      <c r="H67" s="134"/>
      <c r="I67" s="135" t="s">
        <v>82</v>
      </c>
      <c r="J67" s="134"/>
      <c r="K67" s="135" t="s">
        <v>56</v>
      </c>
      <c r="L67" s="134"/>
      <c r="M67" s="135" t="s">
        <v>30</v>
      </c>
      <c r="N67" s="134"/>
      <c r="O67" s="135" t="s">
        <v>30</v>
      </c>
      <c r="P67" s="29"/>
      <c r="Q67" s="22"/>
    </row>
    <row r="68" spans="1:21" s="23" customFormat="1" ht="17.5" customHeight="1" x14ac:dyDescent="0.5">
      <c r="B68" s="118"/>
      <c r="C68" s="133"/>
      <c r="D68" s="134"/>
      <c r="E68" s="133"/>
      <c r="F68" s="134"/>
      <c r="G68" s="135"/>
      <c r="H68" s="134"/>
      <c r="I68" s="135"/>
      <c r="J68" s="134"/>
      <c r="K68" s="135"/>
      <c r="L68" s="134"/>
      <c r="M68" s="135"/>
      <c r="N68" s="134"/>
      <c r="O68" s="135"/>
      <c r="P68" s="29"/>
      <c r="Q68" s="22"/>
    </row>
    <row r="69" spans="1:21" s="23" customFormat="1" ht="17.5" customHeight="1" x14ac:dyDescent="0.5">
      <c r="B69" s="118"/>
      <c r="C69" s="133" t="s">
        <v>49</v>
      </c>
      <c r="D69" s="134"/>
      <c r="E69" s="133" t="s">
        <v>42</v>
      </c>
      <c r="F69" s="134"/>
      <c r="G69" s="135" t="s">
        <v>42</v>
      </c>
      <c r="H69" s="134"/>
      <c r="I69" s="135" t="s">
        <v>42</v>
      </c>
      <c r="J69" s="134"/>
      <c r="K69" s="135" t="s">
        <v>95</v>
      </c>
      <c r="L69" s="134"/>
      <c r="M69" s="135" t="s">
        <v>30</v>
      </c>
      <c r="N69" s="134"/>
      <c r="O69" s="135" t="s">
        <v>30</v>
      </c>
      <c r="P69" s="29"/>
      <c r="Q69" s="22"/>
    </row>
    <row r="70" spans="1:21" s="23" customFormat="1" ht="17.5" customHeight="1" x14ac:dyDescent="0.5">
      <c r="B70" s="126"/>
      <c r="C70" s="150"/>
      <c r="D70" s="151"/>
      <c r="E70" s="150"/>
      <c r="F70" s="151"/>
      <c r="G70" s="152"/>
      <c r="H70" s="151"/>
      <c r="I70" s="152"/>
      <c r="J70" s="151"/>
      <c r="K70" s="152"/>
      <c r="L70" s="151"/>
      <c r="M70" s="152"/>
      <c r="N70" s="151"/>
      <c r="O70" s="152"/>
      <c r="P70" s="72"/>
      <c r="Q70" s="22"/>
    </row>
    <row r="71" spans="1:21" s="23" customFormat="1" ht="17.5" customHeight="1" x14ac:dyDescent="0.5">
      <c r="B71" s="126" t="s">
        <v>43</v>
      </c>
      <c r="C71" s="150" t="s">
        <v>109</v>
      </c>
      <c r="D71" s="151"/>
      <c r="E71" s="150" t="s">
        <v>59</v>
      </c>
      <c r="F71" s="151"/>
      <c r="G71" s="152" t="s">
        <v>93</v>
      </c>
      <c r="H71" s="151"/>
      <c r="I71" s="152" t="s">
        <v>73</v>
      </c>
      <c r="J71" s="151"/>
      <c r="K71" s="152" t="s">
        <v>105</v>
      </c>
      <c r="L71" s="151"/>
      <c r="M71" s="152" t="s">
        <v>30</v>
      </c>
      <c r="N71" s="151"/>
      <c r="O71" s="152" t="s">
        <v>30</v>
      </c>
      <c r="P71" s="72"/>
      <c r="Q71" s="22"/>
    </row>
    <row r="72" spans="1:21" s="23" customFormat="1" ht="17.5" customHeight="1" x14ac:dyDescent="0.5">
      <c r="B72" s="127"/>
      <c r="C72" s="153" t="s">
        <v>91</v>
      </c>
      <c r="D72" s="154"/>
      <c r="E72" s="153" t="s">
        <v>94</v>
      </c>
      <c r="F72" s="154"/>
      <c r="G72" s="155" t="s">
        <v>31</v>
      </c>
      <c r="H72" s="154"/>
      <c r="I72" s="155" t="s">
        <v>31</v>
      </c>
      <c r="J72" s="154"/>
      <c r="K72" s="155" t="s">
        <v>34</v>
      </c>
      <c r="L72" s="154"/>
      <c r="M72" s="155" t="s">
        <v>30</v>
      </c>
      <c r="N72" s="154"/>
      <c r="O72" s="155" t="s">
        <v>30</v>
      </c>
      <c r="P72" s="77"/>
      <c r="Q72" s="22"/>
    </row>
    <row r="73" spans="1:21" s="21" customFormat="1" ht="18" customHeight="1" x14ac:dyDescent="0.3">
      <c r="A73" s="51"/>
      <c r="B73" s="52"/>
      <c r="C73" s="55" t="str">
        <f>IF(DAY(DecSun1)=1,IF(AND(YEAR(DecSun1+29)=CalendarYear,MONTH(DecSun1+29)=12),DecSun1+29,""),IF(AND(YEAR(DecSun1+36)=CalendarYear,MONTH(DecSun1+36)=12),DecSun1+36,""))</f>
        <v/>
      </c>
      <c r="D73" s="61" t="s">
        <v>29</v>
      </c>
      <c r="E73" s="55" t="str">
        <f>IF(DAY(DecSun1)=1,IF(AND(YEAR(DecSun1+30)=CalendarYear,MONTH(DecSun1+30)=12),DecSun1+30,""),IF(AND(YEAR(DecSun1+37)=CalendarYear,MONTH(DecSun1+37)=12),DecSun1+37,""))</f>
        <v/>
      </c>
      <c r="F73" s="61" t="s">
        <v>29</v>
      </c>
      <c r="G73" s="56" t="s">
        <v>14</v>
      </c>
      <c r="H73" s="57"/>
      <c r="I73" s="58"/>
      <c r="J73" s="57"/>
      <c r="K73" s="58"/>
      <c r="L73" s="57"/>
      <c r="M73" s="58"/>
      <c r="N73" s="57"/>
      <c r="O73" s="58"/>
      <c r="P73" s="57"/>
      <c r="Q73" s="22"/>
      <c r="T73" s="23"/>
      <c r="U73" s="24"/>
    </row>
    <row r="74" spans="1:21" s="23" customFormat="1" ht="17.5" customHeight="1" x14ac:dyDescent="0.45">
      <c r="B74" s="50"/>
      <c r="C74" s="34"/>
      <c r="D74" s="35"/>
      <c r="E74" s="34"/>
      <c r="F74" s="35"/>
      <c r="G74" s="199" t="s">
        <v>106</v>
      </c>
      <c r="H74" s="200"/>
      <c r="I74" s="200"/>
      <c r="J74" s="200"/>
      <c r="K74" s="200"/>
      <c r="L74" s="200"/>
      <c r="M74" s="200"/>
      <c r="N74" s="200"/>
      <c r="O74" s="200"/>
      <c r="P74" s="201"/>
      <c r="Q74" s="22"/>
    </row>
    <row r="75" spans="1:21" s="23" customFormat="1" ht="17.5" customHeight="1" x14ac:dyDescent="0.45">
      <c r="B75" s="50"/>
      <c r="C75" s="37"/>
      <c r="D75" s="38"/>
      <c r="E75" s="37"/>
      <c r="F75" s="38"/>
      <c r="G75" s="202"/>
      <c r="H75" s="203"/>
      <c r="I75" s="203"/>
      <c r="J75" s="203"/>
      <c r="K75" s="203"/>
      <c r="L75" s="203"/>
      <c r="M75" s="203"/>
      <c r="N75" s="203"/>
      <c r="O75" s="203"/>
      <c r="P75" s="204"/>
      <c r="Q75" s="22"/>
    </row>
    <row r="76" spans="1:21" s="23" customFormat="1" ht="17.5" customHeight="1" x14ac:dyDescent="0.45">
      <c r="B76" s="50"/>
      <c r="C76" s="37"/>
      <c r="D76" s="38"/>
      <c r="E76" s="37"/>
      <c r="F76" s="38"/>
      <c r="G76" s="202"/>
      <c r="H76" s="203"/>
      <c r="I76" s="203"/>
      <c r="J76" s="203"/>
      <c r="K76" s="203"/>
      <c r="L76" s="203"/>
      <c r="M76" s="203"/>
      <c r="N76" s="203"/>
      <c r="O76" s="203"/>
      <c r="P76" s="204"/>
      <c r="Q76" s="22"/>
    </row>
    <row r="77" spans="1:21" s="23" customFormat="1" ht="17.5" customHeight="1" x14ac:dyDescent="0.45">
      <c r="B77" s="50"/>
      <c r="C77" s="37"/>
      <c r="D77" s="38"/>
      <c r="E77" s="37"/>
      <c r="F77" s="38"/>
      <c r="G77" s="202"/>
      <c r="H77" s="203"/>
      <c r="I77" s="203"/>
      <c r="J77" s="203"/>
      <c r="K77" s="203"/>
      <c r="L77" s="203"/>
      <c r="M77" s="203"/>
      <c r="N77" s="203"/>
      <c r="O77" s="203"/>
      <c r="P77" s="204"/>
      <c r="Q77" s="22"/>
    </row>
    <row r="78" spans="1:21" s="23" customFormat="1" ht="17.5" customHeight="1" x14ac:dyDescent="0.45">
      <c r="B78" s="50"/>
      <c r="C78" s="37"/>
      <c r="D78" s="38"/>
      <c r="E78" s="37"/>
      <c r="F78" s="38"/>
      <c r="G78" s="202"/>
      <c r="H78" s="203"/>
      <c r="I78" s="203"/>
      <c r="J78" s="203"/>
      <c r="K78" s="203"/>
      <c r="L78" s="203"/>
      <c r="M78" s="203"/>
      <c r="N78" s="203"/>
      <c r="O78" s="203"/>
      <c r="P78" s="204"/>
      <c r="Q78" s="22"/>
    </row>
    <row r="79" spans="1:21" s="23" customFormat="1" ht="17.5" customHeight="1" x14ac:dyDescent="0.45">
      <c r="B79" s="50"/>
      <c r="C79" s="37"/>
      <c r="D79" s="38"/>
      <c r="E79" s="37"/>
      <c r="F79" s="38"/>
      <c r="G79" s="202"/>
      <c r="H79" s="203"/>
      <c r="I79" s="203"/>
      <c r="J79" s="203"/>
      <c r="K79" s="203"/>
      <c r="L79" s="203"/>
      <c r="M79" s="203"/>
      <c r="N79" s="203"/>
      <c r="O79" s="203"/>
      <c r="P79" s="204"/>
      <c r="Q79" s="22"/>
    </row>
    <row r="80" spans="1:21" s="23" customFormat="1" ht="17.5" customHeight="1" x14ac:dyDescent="0.45">
      <c r="B80" s="50"/>
      <c r="C80" s="37"/>
      <c r="D80" s="38"/>
      <c r="E80" s="37"/>
      <c r="F80" s="38"/>
      <c r="G80" s="202"/>
      <c r="H80" s="203"/>
      <c r="I80" s="203"/>
      <c r="J80" s="203"/>
      <c r="K80" s="203"/>
      <c r="L80" s="203"/>
      <c r="M80" s="203"/>
      <c r="N80" s="203"/>
      <c r="O80" s="203"/>
      <c r="P80" s="204"/>
      <c r="Q80" s="22"/>
    </row>
    <row r="81" spans="1:17" s="23" customFormat="1" ht="17.5" customHeight="1" x14ac:dyDescent="0.35">
      <c r="B81" s="48"/>
      <c r="C81" s="37"/>
      <c r="D81" s="38"/>
      <c r="E81" s="37"/>
      <c r="F81" s="38"/>
      <c r="G81" s="202"/>
      <c r="H81" s="203"/>
      <c r="I81" s="203"/>
      <c r="J81" s="203"/>
      <c r="K81" s="203"/>
      <c r="L81" s="203"/>
      <c r="M81" s="203"/>
      <c r="N81" s="203"/>
      <c r="O81" s="203"/>
      <c r="P81" s="204"/>
      <c r="Q81" s="22"/>
    </row>
    <row r="82" spans="1:17" s="23" customFormat="1" ht="17.5" customHeight="1" x14ac:dyDescent="0.35">
      <c r="B82" s="48"/>
      <c r="C82" s="37"/>
      <c r="D82" s="38"/>
      <c r="E82" s="37"/>
      <c r="F82" s="38"/>
      <c r="G82" s="202"/>
      <c r="H82" s="203"/>
      <c r="I82" s="203"/>
      <c r="J82" s="203"/>
      <c r="K82" s="203"/>
      <c r="L82" s="203"/>
      <c r="M82" s="203"/>
      <c r="N82" s="203"/>
      <c r="O82" s="203"/>
      <c r="P82" s="204"/>
      <c r="Q82" s="22"/>
    </row>
    <row r="83" spans="1:17" s="23" customFormat="1" ht="17.5" customHeight="1" x14ac:dyDescent="0.35">
      <c r="B83" s="48"/>
      <c r="C83" s="37"/>
      <c r="D83" s="38"/>
      <c r="E83" s="37"/>
      <c r="F83" s="38"/>
      <c r="G83" s="202"/>
      <c r="H83" s="203"/>
      <c r="I83" s="203"/>
      <c r="J83" s="203"/>
      <c r="K83" s="203"/>
      <c r="L83" s="203"/>
      <c r="M83" s="203"/>
      <c r="N83" s="203"/>
      <c r="O83" s="203"/>
      <c r="P83" s="204"/>
      <c r="Q83" s="22"/>
    </row>
    <row r="84" spans="1:17" s="23" customFormat="1" ht="17.5" customHeight="1" x14ac:dyDescent="0.35">
      <c r="B84" s="48"/>
      <c r="C84" s="37"/>
      <c r="D84" s="38"/>
      <c r="E84" s="37"/>
      <c r="F84" s="38"/>
      <c r="G84" s="202"/>
      <c r="H84" s="203"/>
      <c r="I84" s="203"/>
      <c r="J84" s="203"/>
      <c r="K84" s="203"/>
      <c r="L84" s="203"/>
      <c r="M84" s="203"/>
      <c r="N84" s="203"/>
      <c r="O84" s="203"/>
      <c r="P84" s="204"/>
      <c r="Q84" s="22"/>
    </row>
    <row r="85" spans="1:17" s="23" customFormat="1" ht="17.5" customHeight="1" x14ac:dyDescent="0.35">
      <c r="B85" s="49"/>
      <c r="C85" s="40" t="s">
        <v>5</v>
      </c>
      <c r="D85" s="41"/>
      <c r="E85" s="40" t="s">
        <v>5</v>
      </c>
      <c r="F85" s="41"/>
      <c r="G85" s="205"/>
      <c r="H85" s="206"/>
      <c r="I85" s="206"/>
      <c r="J85" s="206"/>
      <c r="K85" s="206"/>
      <c r="L85" s="206"/>
      <c r="M85" s="206"/>
      <c r="N85" s="206"/>
      <c r="O85" s="206"/>
      <c r="P85" s="207"/>
      <c r="Q85" s="22"/>
    </row>
    <row r="86" spans="1:17" ht="22.75" customHeight="1" x14ac:dyDescent="0.3">
      <c r="B86" s="159" t="s">
        <v>27</v>
      </c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</row>
    <row r="87" spans="1:17" ht="22.75" customHeight="1" x14ac:dyDescent="0.3">
      <c r="A87" s="2"/>
      <c r="B87" s="158" t="s">
        <v>28</v>
      </c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</row>
    <row r="88" spans="1:17" x14ac:dyDescent="0.3">
      <c r="A88" s="2"/>
    </row>
    <row r="89" spans="1:17" x14ac:dyDescent="0.3">
      <c r="A89" s="2"/>
    </row>
    <row r="90" spans="1:17" ht="21" customHeight="1" x14ac:dyDescent="0.3">
      <c r="A90" s="2"/>
      <c r="E90" s="5"/>
      <c r="F90" s="17"/>
      <c r="G90" s="4"/>
      <c r="H90" s="18"/>
      <c r="I90" s="3"/>
      <c r="J90" s="19"/>
    </row>
    <row r="91" spans="1:17" ht="19.5" customHeight="1" x14ac:dyDescent="0.3">
      <c r="A91" s="2"/>
    </row>
    <row r="92" spans="1:17" ht="15" x14ac:dyDescent="0.3">
      <c r="A92"/>
    </row>
    <row r="93" spans="1:17" x14ac:dyDescent="0.3">
      <c r="A93" s="2"/>
    </row>
    <row r="94" spans="1:17" x14ac:dyDescent="0.3">
      <c r="A94" s="2"/>
    </row>
    <row r="95" spans="1:17" x14ac:dyDescent="0.3">
      <c r="A95" s="2"/>
    </row>
    <row r="96" spans="1:17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ht="15" x14ac:dyDescent="0.3">
      <c r="A105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ht="15" x14ac:dyDescent="0.3">
      <c r="A118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ht="15" x14ac:dyDescent="0.3">
      <c r="A131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4" spans="1:1" ht="15" x14ac:dyDescent="0.3">
      <c r="A144"/>
    </row>
    <row r="145" spans="1:1" x14ac:dyDescent="0.3">
      <c r="A145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x14ac:dyDescent="0.3">
      <c r="A150" s="2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ht="15" x14ac:dyDescent="0.3">
      <c r="A163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x14ac:dyDescent="0.3">
      <c r="A174" s="2"/>
    </row>
    <row r="175" spans="1:1" x14ac:dyDescent="0.3">
      <c r="A175" s="2"/>
    </row>
    <row r="176" spans="1:1" ht="15" x14ac:dyDescent="0.3">
      <c r="A176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ht="15" x14ac:dyDescent="0.3">
      <c r="A189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ht="15" x14ac:dyDescent="0.3">
      <c r="A20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x14ac:dyDescent="0.3">
      <c r="A213" s="2"/>
    </row>
    <row r="214" spans="1:1" x14ac:dyDescent="0.3">
      <c r="A214" s="2"/>
    </row>
    <row r="215" spans="1:1" ht="15" x14ac:dyDescent="0.3">
      <c r="A215"/>
    </row>
    <row r="216" spans="1:1" x14ac:dyDescent="0.3">
      <c r="A216" s="2"/>
    </row>
    <row r="217" spans="1:1" x14ac:dyDescent="0.3">
      <c r="A217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x14ac:dyDescent="0.3">
      <c r="A225" s="2"/>
    </row>
    <row r="226" spans="1:1" x14ac:dyDescent="0.3">
      <c r="A226" s="2"/>
    </row>
    <row r="227" spans="1:1" x14ac:dyDescent="0.3">
      <c r="A227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ht="15" x14ac:dyDescent="0.3">
      <c r="A238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ht="15" x14ac:dyDescent="0.3">
      <c r="A251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ht="15" x14ac:dyDescent="0.3">
      <c r="A264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  <row r="269" spans="1:1" x14ac:dyDescent="0.3">
      <c r="A269" s="2"/>
    </row>
    <row r="270" spans="1:1" x14ac:dyDescent="0.3">
      <c r="A270" s="2"/>
    </row>
    <row r="271" spans="1:1" x14ac:dyDescent="0.3">
      <c r="A271" s="2"/>
    </row>
    <row r="272" spans="1:1" x14ac:dyDescent="0.3">
      <c r="A272" s="2"/>
    </row>
    <row r="273" spans="1:1" x14ac:dyDescent="0.3">
      <c r="A273" s="2"/>
    </row>
    <row r="274" spans="1:1" x14ac:dyDescent="0.3">
      <c r="A274" s="2"/>
    </row>
    <row r="275" spans="1:1" x14ac:dyDescent="0.3">
      <c r="A275" s="2"/>
    </row>
    <row r="276" spans="1:1" x14ac:dyDescent="0.3">
      <c r="A276" s="2"/>
    </row>
    <row r="277" spans="1:1" ht="15" x14ac:dyDescent="0.3">
      <c r="A277"/>
    </row>
    <row r="278" spans="1:1" x14ac:dyDescent="0.3">
      <c r="A278" s="2"/>
    </row>
    <row r="279" spans="1:1" x14ac:dyDescent="0.3">
      <c r="A279" s="2"/>
    </row>
    <row r="280" spans="1:1" x14ac:dyDescent="0.3">
      <c r="A280" s="2"/>
    </row>
    <row r="281" spans="1:1" x14ac:dyDescent="0.3">
      <c r="A281" s="2"/>
    </row>
    <row r="282" spans="1:1" x14ac:dyDescent="0.3">
      <c r="A282" s="2"/>
    </row>
    <row r="283" spans="1:1" x14ac:dyDescent="0.3">
      <c r="A283" s="2"/>
    </row>
    <row r="284" spans="1:1" x14ac:dyDescent="0.3">
      <c r="A284" s="2"/>
    </row>
    <row r="285" spans="1:1" x14ac:dyDescent="0.3">
      <c r="A285" s="2"/>
    </row>
    <row r="286" spans="1:1" x14ac:dyDescent="0.3">
      <c r="A286" s="2"/>
    </row>
    <row r="287" spans="1:1" x14ac:dyDescent="0.3">
      <c r="A287" s="2"/>
    </row>
    <row r="288" spans="1:1" x14ac:dyDescent="0.3">
      <c r="A288" s="2"/>
    </row>
    <row r="289" spans="1:1" x14ac:dyDescent="0.3">
      <c r="A289" s="2"/>
    </row>
    <row r="290" spans="1:1" ht="15" x14ac:dyDescent="0.3">
      <c r="A290"/>
    </row>
    <row r="291" spans="1:1" x14ac:dyDescent="0.3">
      <c r="A291" s="2"/>
    </row>
    <row r="292" spans="1:1" x14ac:dyDescent="0.3">
      <c r="A292" s="2"/>
    </row>
    <row r="293" spans="1:1" x14ac:dyDescent="0.3">
      <c r="A293" s="2"/>
    </row>
    <row r="294" spans="1:1" x14ac:dyDescent="0.3">
      <c r="A294" s="2"/>
    </row>
    <row r="295" spans="1:1" x14ac:dyDescent="0.3">
      <c r="A295" s="2"/>
    </row>
    <row r="296" spans="1:1" x14ac:dyDescent="0.3">
      <c r="A296" s="2"/>
    </row>
    <row r="297" spans="1:1" x14ac:dyDescent="0.3">
      <c r="A297" s="2"/>
    </row>
    <row r="298" spans="1:1" x14ac:dyDescent="0.3">
      <c r="A298" s="2"/>
    </row>
    <row r="299" spans="1:1" x14ac:dyDescent="0.3">
      <c r="A299" s="2"/>
    </row>
    <row r="300" spans="1:1" x14ac:dyDescent="0.3">
      <c r="A300" s="2"/>
    </row>
    <row r="301" spans="1:1" x14ac:dyDescent="0.3">
      <c r="A301" s="2"/>
    </row>
    <row r="302" spans="1:1" x14ac:dyDescent="0.3">
      <c r="A302" s="2"/>
    </row>
  </sheetData>
  <mergeCells count="7">
    <mergeCell ref="BK4:BN5"/>
    <mergeCell ref="CB6:CC6"/>
    <mergeCell ref="B86:P86"/>
    <mergeCell ref="B87:P87"/>
    <mergeCell ref="G74:P85"/>
    <mergeCell ref="B4:C5"/>
    <mergeCell ref="G6:H6"/>
  </mergeCells>
  <printOptions horizontalCentered="1" verticalCentered="1"/>
  <pageMargins left="0.2" right="0.2" top="0.25" bottom="0.25" header="0" footer="0"/>
  <pageSetup scale="34" orientation="landscape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0" tint="-0.34998626667073579"/>
    <pageSetUpPr fitToPage="1"/>
  </sheetPr>
  <dimension ref="A1:CJ302"/>
  <sheetViews>
    <sheetView showGridLines="0" zoomScale="50" zoomScaleNormal="50" workbookViewId="0">
      <selection activeCell="R4" sqref="R4"/>
    </sheetView>
  </sheetViews>
  <sheetFormatPr defaultColWidth="6.69140625" defaultRowHeight="14" x14ac:dyDescent="0.3"/>
  <cols>
    <col min="1" max="1" width="5.53515625" style="1" customWidth="1"/>
    <col min="2" max="2" width="18.07421875" style="1" bestFit="1" customWidth="1"/>
    <col min="3" max="3" width="24.23046875" style="1" customWidth="1"/>
    <col min="4" max="4" width="7.4609375" style="14" customWidth="1"/>
    <col min="5" max="5" width="24.23046875" style="1" customWidth="1"/>
    <col min="6" max="6" width="7.4609375" style="14" customWidth="1"/>
    <col min="7" max="7" width="24.23046875" style="1" customWidth="1"/>
    <col min="8" max="8" width="7.4609375" style="14" customWidth="1"/>
    <col min="9" max="9" width="24.23046875" style="1" customWidth="1"/>
    <col min="10" max="10" width="7.4609375" style="14" customWidth="1"/>
    <col min="11" max="11" width="24.23046875" style="1" customWidth="1"/>
    <col min="12" max="12" width="7.4609375" style="14" customWidth="1"/>
    <col min="13" max="13" width="24.23046875" style="1" customWidth="1"/>
    <col min="14" max="14" width="7.4609375" style="14" customWidth="1"/>
    <col min="15" max="15" width="24.23046875" style="1" customWidth="1"/>
    <col min="16" max="16" width="7.4609375" style="14" customWidth="1"/>
    <col min="17" max="17" width="13.3046875" style="1" customWidth="1"/>
    <col min="18" max="18" width="31.3046875" style="1" customWidth="1"/>
    <col min="19" max="19" width="11.84375" style="1" customWidth="1"/>
    <col min="20" max="20" width="11.3046875" style="1" customWidth="1"/>
    <col min="21" max="16384" width="6.69140625" style="1"/>
  </cols>
  <sheetData>
    <row r="1" spans="1:88" ht="49.75" customHeight="1" x14ac:dyDescent="0.3">
      <c r="R1" s="46"/>
      <c r="S1" s="46"/>
    </row>
    <row r="2" spans="1:88" ht="13.75" customHeight="1" x14ac:dyDescent="0.3">
      <c r="L2"/>
      <c r="R2" s="46"/>
      <c r="S2" s="46"/>
    </row>
    <row r="3" spans="1:88" ht="19.399999999999999" customHeight="1" x14ac:dyDescent="0.3">
      <c r="B3" s="9"/>
      <c r="R3" s="46"/>
      <c r="S3" s="46"/>
      <c r="BB3" s="9"/>
      <c r="BC3" s="9"/>
      <c r="BD3" s="9"/>
    </row>
    <row r="4" spans="1:88" ht="43.75" customHeight="1" x14ac:dyDescent="0.65">
      <c r="B4" s="172"/>
      <c r="C4" s="172"/>
      <c r="R4" s="46"/>
      <c r="S4" s="46"/>
      <c r="BB4" s="9"/>
      <c r="BC4" s="9"/>
      <c r="BD4" s="9"/>
      <c r="BK4" s="160"/>
      <c r="BL4" s="160"/>
      <c r="BM4" s="160"/>
      <c r="BN4" s="160"/>
      <c r="CG4" s="11"/>
      <c r="CH4" s="13"/>
      <c r="CI4" s="11"/>
    </row>
    <row r="5" spans="1:88" ht="30" customHeight="1" x14ac:dyDescent="0.65">
      <c r="B5" s="172"/>
      <c r="C5" s="172"/>
      <c r="D5" s="15"/>
      <c r="F5" s="15"/>
      <c r="H5" s="15"/>
      <c r="I5" s="9"/>
      <c r="J5" s="15"/>
      <c r="K5" s="9"/>
      <c r="L5" s="15"/>
      <c r="M5" s="9"/>
      <c r="N5" s="15"/>
      <c r="O5" s="9"/>
      <c r="P5" s="15"/>
      <c r="R5" s="44"/>
      <c r="S5" s="44"/>
      <c r="BB5" s="9"/>
      <c r="BC5" s="9"/>
      <c r="BD5" s="9"/>
      <c r="BH5" s="9"/>
      <c r="BI5" s="9"/>
      <c r="BJ5" s="9"/>
      <c r="BK5" s="160"/>
      <c r="BL5" s="160"/>
      <c r="BM5" s="160"/>
      <c r="BN5" s="160"/>
      <c r="BO5" s="9"/>
      <c r="BP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12"/>
      <c r="CH5" s="12"/>
      <c r="CI5" s="12"/>
      <c r="CJ5" s="9"/>
    </row>
    <row r="6" spans="1:88" ht="48.65" customHeight="1" x14ac:dyDescent="0.65">
      <c r="F6" s="16"/>
      <c r="G6" s="173" t="s">
        <v>15</v>
      </c>
      <c r="H6" s="173"/>
      <c r="I6" s="59" t="str">
        <f>UPPER(TEXT(DATE(CalendarYear,1,1)," yyyy"))</f>
        <v xml:space="preserve"> 2021</v>
      </c>
      <c r="J6" s="16"/>
      <c r="K6" s="7"/>
      <c r="L6" s="16"/>
      <c r="N6" s="16"/>
      <c r="R6" s="43"/>
      <c r="S6" s="43"/>
      <c r="BO6" s="7"/>
      <c r="BP6" s="8"/>
      <c r="BR6" s="7"/>
      <c r="BS6" s="8"/>
      <c r="BT6" s="7"/>
      <c r="BU6" s="7"/>
      <c r="BV6" s="8"/>
      <c r="BW6" s="7"/>
      <c r="BX6" s="7"/>
      <c r="BY6" s="8"/>
      <c r="CA6" s="7"/>
      <c r="CB6" s="161"/>
      <c r="CC6" s="161"/>
      <c r="CD6" s="10"/>
      <c r="CE6" s="8"/>
      <c r="CG6" s="11"/>
      <c r="CH6" s="11"/>
      <c r="CI6" s="11"/>
    </row>
    <row r="7" spans="1:88" customFormat="1" ht="26.25" customHeight="1" x14ac:dyDescent="0.3">
      <c r="A7" s="1"/>
      <c r="B7" s="20"/>
      <c r="C7" s="60" t="s">
        <v>7</v>
      </c>
      <c r="D7" s="60"/>
      <c r="E7" s="60" t="s">
        <v>8</v>
      </c>
      <c r="F7" s="60"/>
      <c r="G7" s="60" t="s">
        <v>9</v>
      </c>
      <c r="H7" s="60"/>
      <c r="I7" s="60" t="s">
        <v>10</v>
      </c>
      <c r="J7" s="60"/>
      <c r="K7" s="60" t="s">
        <v>11</v>
      </c>
      <c r="L7" s="60"/>
      <c r="M7" s="60" t="s">
        <v>12</v>
      </c>
      <c r="N7" s="60"/>
      <c r="O7" s="60" t="s">
        <v>13</v>
      </c>
      <c r="P7" s="45"/>
      <c r="Q7" s="1"/>
      <c r="S7" s="1"/>
      <c r="T7" s="6"/>
      <c r="X7" s="1"/>
      <c r="Y7" s="1"/>
    </row>
    <row r="8" spans="1:88" s="51" customFormat="1" ht="18" customHeight="1" x14ac:dyDescent="0.3">
      <c r="B8" s="52"/>
      <c r="C8" s="55">
        <f>IF(DAY(FebSun1)=1,"",IF(AND(YEAR(FebSun1+1)=CalendarYear,MONTH(FebSun1+1)=2),FebSun1+1,""))</f>
        <v>44228</v>
      </c>
      <c r="D8" s="61" t="s">
        <v>29</v>
      </c>
      <c r="E8" s="55">
        <f>IF(DAY(FebSun1)=1,"",IF(AND(YEAR(FebSun1+2)=CalendarYear,MONTH(FebSun1+2)=2),FebSun1+2,""))</f>
        <v>44229</v>
      </c>
      <c r="F8" s="61" t="s">
        <v>29</v>
      </c>
      <c r="G8" s="56">
        <f>IF(DAY(FebSun1)=1,"",IF(AND(YEAR(FebSun1+3)=CalendarYear,MONTH(FebSun1+3)=2),FebSun1+3,""))</f>
        <v>44230</v>
      </c>
      <c r="H8" s="61" t="s">
        <v>29</v>
      </c>
      <c r="I8" s="56">
        <f>IF(DAY(FebSun1)=1,"",IF(AND(YEAR(FebSun1+4)=CalendarYear,MONTH(FebSun1+4)=2),FebSun1+4,""))</f>
        <v>44231</v>
      </c>
      <c r="J8" s="61" t="s">
        <v>29</v>
      </c>
      <c r="K8" s="56">
        <f>IF(DAY(FebSun1)=1,"",IF(AND(YEAR(FebSun1+5)=CalendarYear,MONTH(FebSun1+5)=2),FebSun1+5,""))</f>
        <v>44232</v>
      </c>
      <c r="L8" s="61" t="s">
        <v>29</v>
      </c>
      <c r="M8" s="56">
        <f>IF(DAY(FebSun1)=1,"",IF(AND(YEAR(FebSun1+6)=CalendarYear,MONTH(FebSun1+6)=2),FebSun1+6,""))</f>
        <v>44233</v>
      </c>
      <c r="N8" s="61" t="s">
        <v>29</v>
      </c>
      <c r="O8" s="56">
        <f>IF(DAY(FebSun1)=1,IF(AND(YEAR(FebSun1)=CalendarYear,MONTH(FebSun1)=2),FebSun1,""),IF(AND(YEAR(FebSun1+7)=CalendarYear,MONTH(FebSun1+7)=2),FebSun1+7,""))</f>
        <v>44234</v>
      </c>
      <c r="P8" s="61" t="s">
        <v>29</v>
      </c>
      <c r="Q8" s="47"/>
      <c r="T8" s="53"/>
      <c r="U8" s="54"/>
    </row>
    <row r="9" spans="1:88" s="23" customFormat="1" ht="17.5" customHeight="1" x14ac:dyDescent="0.45">
      <c r="B9" s="50" t="s">
        <v>1</v>
      </c>
      <c r="C9" s="25"/>
      <c r="D9" s="26"/>
      <c r="E9" s="25"/>
      <c r="F9" s="26"/>
      <c r="G9" s="27"/>
      <c r="H9" s="26"/>
      <c r="I9" s="27"/>
      <c r="J9" s="26"/>
      <c r="K9" s="27"/>
      <c r="L9" s="26"/>
      <c r="M9" s="27"/>
      <c r="N9" s="26"/>
      <c r="O9" s="27"/>
      <c r="P9" s="26"/>
      <c r="Q9" s="22"/>
    </row>
    <row r="10" spans="1:88" s="23" customFormat="1" ht="17.5" customHeight="1" x14ac:dyDescent="0.45">
      <c r="B10" s="50" t="s">
        <v>2</v>
      </c>
      <c r="C10" s="28"/>
      <c r="D10" s="29"/>
      <c r="E10" s="28"/>
      <c r="F10" s="29"/>
      <c r="G10" s="30"/>
      <c r="H10" s="29"/>
      <c r="I10" s="30"/>
      <c r="J10" s="29"/>
      <c r="K10" s="30"/>
      <c r="L10" s="29"/>
      <c r="M10" s="30"/>
      <c r="N10" s="29"/>
      <c r="O10" s="30"/>
      <c r="P10" s="29"/>
      <c r="Q10" s="22"/>
    </row>
    <row r="11" spans="1:88" s="23" customFormat="1" ht="17.5" customHeight="1" x14ac:dyDescent="0.45">
      <c r="B11" s="50" t="s">
        <v>3</v>
      </c>
      <c r="C11" s="28"/>
      <c r="D11" s="29"/>
      <c r="E11" s="28"/>
      <c r="F11" s="29"/>
      <c r="G11" s="30"/>
      <c r="H11" s="29"/>
      <c r="I11" s="30"/>
      <c r="J11" s="29"/>
      <c r="K11" s="30"/>
      <c r="L11" s="29"/>
      <c r="M11" s="30"/>
      <c r="N11" s="29"/>
      <c r="O11" s="30"/>
      <c r="P11" s="29"/>
      <c r="Q11" s="22"/>
    </row>
    <row r="12" spans="1:88" s="23" customFormat="1" ht="17.5" customHeight="1" x14ac:dyDescent="0.45">
      <c r="B12" s="50" t="s">
        <v>4</v>
      </c>
      <c r="C12" s="28"/>
      <c r="D12" s="29"/>
      <c r="E12" s="28"/>
      <c r="F12" s="29"/>
      <c r="G12" s="30"/>
      <c r="H12" s="29"/>
      <c r="I12" s="30"/>
      <c r="J12" s="29"/>
      <c r="K12" s="30"/>
      <c r="L12" s="29"/>
      <c r="M12" s="30"/>
      <c r="N12" s="29"/>
      <c r="O12" s="30"/>
      <c r="P12" s="29"/>
      <c r="Q12" s="22"/>
    </row>
    <row r="13" spans="1:88" s="23" customFormat="1" ht="17.5" customHeight="1" x14ac:dyDescent="0.45">
      <c r="B13" s="50" t="s">
        <v>2</v>
      </c>
      <c r="C13" s="28"/>
      <c r="D13" s="29"/>
      <c r="E13" s="28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22"/>
    </row>
    <row r="14" spans="1:88" s="23" customFormat="1" ht="17.5" customHeight="1" x14ac:dyDescent="0.45">
      <c r="B14" s="50"/>
      <c r="C14" s="28"/>
      <c r="D14" s="29"/>
      <c r="E14" s="28"/>
      <c r="F14" s="29"/>
      <c r="G14" s="30"/>
      <c r="H14" s="29"/>
      <c r="I14" s="30"/>
      <c r="J14" s="29"/>
      <c r="K14" s="30"/>
      <c r="L14" s="29"/>
      <c r="M14" s="30"/>
      <c r="N14" s="29"/>
      <c r="O14" s="30"/>
      <c r="P14" s="29"/>
      <c r="Q14" s="22"/>
    </row>
    <row r="15" spans="1:88" s="23" customFormat="1" ht="17.5" customHeight="1" x14ac:dyDescent="0.45">
      <c r="B15" s="50" t="s">
        <v>6</v>
      </c>
      <c r="C15" s="28"/>
      <c r="D15" s="29"/>
      <c r="E15" s="28"/>
      <c r="F15" s="29"/>
      <c r="G15" s="30"/>
      <c r="H15" s="29"/>
      <c r="I15" s="30"/>
      <c r="J15" s="29"/>
      <c r="K15" s="30"/>
      <c r="L15" s="29"/>
      <c r="M15" s="30"/>
      <c r="N15" s="29"/>
      <c r="O15" s="30"/>
      <c r="P15" s="29"/>
      <c r="Q15" s="22"/>
    </row>
    <row r="16" spans="1:88" s="23" customFormat="1" ht="17.5" customHeight="1" x14ac:dyDescent="0.45">
      <c r="B16" s="50"/>
      <c r="C16" s="28"/>
      <c r="D16" s="29"/>
      <c r="E16" s="28"/>
      <c r="F16" s="29"/>
      <c r="G16" s="30"/>
      <c r="H16" s="29"/>
      <c r="I16" s="30"/>
      <c r="J16" s="29"/>
      <c r="K16" s="30"/>
      <c r="L16" s="29"/>
      <c r="M16" s="30"/>
      <c r="N16" s="29"/>
      <c r="O16" s="30"/>
      <c r="P16" s="29"/>
      <c r="Q16" s="22"/>
    </row>
    <row r="17" spans="2:21" s="23" customFormat="1" ht="17.5" customHeight="1" x14ac:dyDescent="0.35">
      <c r="B17" s="48"/>
      <c r="C17" s="28"/>
      <c r="D17" s="29"/>
      <c r="E17" s="28"/>
      <c r="F17" s="29"/>
      <c r="G17" s="30"/>
      <c r="H17" s="29"/>
      <c r="I17" s="30"/>
      <c r="J17" s="29"/>
      <c r="K17" s="30"/>
      <c r="L17" s="29"/>
      <c r="M17" s="30"/>
      <c r="N17" s="29"/>
      <c r="O17" s="30"/>
      <c r="P17" s="29"/>
      <c r="Q17" s="22"/>
    </row>
    <row r="18" spans="2:21" s="23" customFormat="1" ht="17.5" customHeight="1" x14ac:dyDescent="0.35">
      <c r="B18" s="48"/>
      <c r="C18" s="28"/>
      <c r="D18" s="29"/>
      <c r="E18" s="28"/>
      <c r="F18" s="29"/>
      <c r="G18" s="30"/>
      <c r="H18" s="29"/>
      <c r="I18" s="30"/>
      <c r="J18" s="29"/>
      <c r="K18" s="30"/>
      <c r="L18" s="29"/>
      <c r="M18" s="30"/>
      <c r="N18" s="29"/>
      <c r="O18" s="30"/>
      <c r="P18" s="29"/>
      <c r="Q18" s="22"/>
    </row>
    <row r="19" spans="2:21" s="23" customFormat="1" ht="17.5" customHeight="1" x14ac:dyDescent="0.35">
      <c r="B19" s="48"/>
      <c r="C19" s="28"/>
      <c r="D19" s="29"/>
      <c r="E19" s="28"/>
      <c r="F19" s="29"/>
      <c r="G19" s="30"/>
      <c r="H19" s="29"/>
      <c r="I19" s="30"/>
      <c r="J19" s="29"/>
      <c r="K19" s="30"/>
      <c r="L19" s="29"/>
      <c r="M19" s="30"/>
      <c r="N19" s="29"/>
      <c r="O19" s="30"/>
      <c r="P19" s="29"/>
      <c r="Q19" s="22"/>
    </row>
    <row r="20" spans="2:21" s="23" customFormat="1" ht="17.5" customHeight="1" x14ac:dyDescent="0.35">
      <c r="B20" s="49"/>
      <c r="C20" s="31" t="s">
        <v>5</v>
      </c>
      <c r="D20" s="29"/>
      <c r="E20" s="31" t="s">
        <v>5</v>
      </c>
      <c r="F20" s="29"/>
      <c r="G20" s="31" t="s">
        <v>5</v>
      </c>
      <c r="H20" s="29"/>
      <c r="I20" s="31" t="s">
        <v>5</v>
      </c>
      <c r="J20" s="29"/>
      <c r="K20" s="31" t="s">
        <v>5</v>
      </c>
      <c r="L20" s="29"/>
      <c r="M20" s="31" t="s">
        <v>5</v>
      </c>
      <c r="N20" s="29"/>
      <c r="O20" s="31" t="s">
        <v>5</v>
      </c>
      <c r="P20" s="29"/>
      <c r="Q20" s="22"/>
    </row>
    <row r="21" spans="2:21" s="51" customFormat="1" ht="18" customHeight="1" x14ac:dyDescent="0.3">
      <c r="B21" s="52"/>
      <c r="C21" s="55">
        <f>IF(DAY(FebSun1)=1,IF(AND(YEAR(FebSun1+1)=CalendarYear,MONTH(FebSun1+1)=2),FebSun1+1,""),IF(AND(YEAR(FebSun1+8)=CalendarYear,MONTH(FebSun1+8)=2),FebSun1+8,""))</f>
        <v>44235</v>
      </c>
      <c r="D21" s="61" t="s">
        <v>29</v>
      </c>
      <c r="E21" s="55">
        <f>IF(DAY(FebSun1)=1,IF(AND(YEAR(FebSun1+2)=CalendarYear,MONTH(FebSun1+2)=2),FebSun1+2,""),IF(AND(YEAR(FebSun1+9)=CalendarYear,MONTH(FebSun1+9)=2),FebSun1+9,""))</f>
        <v>44236</v>
      </c>
      <c r="F21" s="61" t="s">
        <v>29</v>
      </c>
      <c r="G21" s="56">
        <f>IF(DAY(FebSun1)=1,IF(AND(YEAR(FebSun1+3)=CalendarYear,MONTH(FebSun1+3)=2),FebSun1+3,""),IF(AND(YEAR(FebSun1+10)=CalendarYear,MONTH(FebSun1+10)=2),FebSun1+10,""))</f>
        <v>44237</v>
      </c>
      <c r="H21" s="61" t="s">
        <v>29</v>
      </c>
      <c r="I21" s="56">
        <f>IF(DAY(FebSun1)=1,IF(AND(YEAR(FebSun1+4)=CalendarYear,MONTH(FebSun1+4)=2),FebSun1+4,""),IF(AND(YEAR(FebSun1+11)=CalendarYear,MONTH(FebSun1+11)=2),FebSun1+11,""))</f>
        <v>44238</v>
      </c>
      <c r="J21" s="61" t="s">
        <v>29</v>
      </c>
      <c r="K21" s="56">
        <f>IF(DAY(FebSun1)=1,IF(AND(YEAR(FebSun1+5)=CalendarYear,MONTH(FebSun1+5)=2),FebSun1+5,""),IF(AND(YEAR(FebSun1+12)=CalendarYear,MONTH(FebSun1+12)=2),FebSun1+12,""))</f>
        <v>44239</v>
      </c>
      <c r="L21" s="61" t="s">
        <v>29</v>
      </c>
      <c r="M21" s="56">
        <f>IF(DAY(FebSun1)=1,IF(AND(YEAR(FebSun1+6)=CalendarYear,MONTH(FebSun1+6)=2),FebSun1+6,""),IF(AND(YEAR(FebSun1+13)=CalendarYear,MONTH(FebSun1+13)=2),FebSun1+13,""))</f>
        <v>44240</v>
      </c>
      <c r="N21" s="61" t="s">
        <v>29</v>
      </c>
      <c r="O21" s="56">
        <f>IF(DAY(FebSun1)=1,IF(AND(YEAR(FebSun1+7)=CalendarYear,MONTH(FebSun1+7)=2),FebSun1+7,""),IF(AND(YEAR(FebSun1+14)=CalendarYear,MONTH(FebSun1+14)=2),FebSun1+14,""))</f>
        <v>44241</v>
      </c>
      <c r="P21" s="61" t="s">
        <v>29</v>
      </c>
      <c r="Q21" s="47"/>
      <c r="T21" s="53"/>
      <c r="U21" s="54"/>
    </row>
    <row r="22" spans="2:21" s="23" customFormat="1" ht="17.5" customHeight="1" x14ac:dyDescent="0.45">
      <c r="B22" s="50" t="s">
        <v>1</v>
      </c>
      <c r="C22" s="34"/>
      <c r="D22" s="35"/>
      <c r="E22" s="34"/>
      <c r="F22" s="35"/>
      <c r="G22" s="36"/>
      <c r="H22" s="35"/>
      <c r="I22" s="36"/>
      <c r="J22" s="35"/>
      <c r="K22" s="36"/>
      <c r="L22" s="35"/>
      <c r="M22" s="36"/>
      <c r="N22" s="35"/>
      <c r="O22" s="36"/>
      <c r="P22" s="35"/>
      <c r="Q22" s="22"/>
    </row>
    <row r="23" spans="2:21" s="23" customFormat="1" ht="17.5" customHeight="1" x14ac:dyDescent="0.45">
      <c r="B23" s="50" t="s">
        <v>2</v>
      </c>
      <c r="C23" s="37"/>
      <c r="D23" s="38"/>
      <c r="E23" s="37"/>
      <c r="F23" s="38"/>
      <c r="G23" s="39"/>
      <c r="H23" s="38"/>
      <c r="I23" s="39"/>
      <c r="J23" s="38"/>
      <c r="K23" s="39"/>
      <c r="L23" s="38"/>
      <c r="M23" s="39"/>
      <c r="N23" s="38"/>
      <c r="O23" s="39"/>
      <c r="P23" s="38"/>
      <c r="Q23" s="22"/>
    </row>
    <row r="24" spans="2:21" s="23" customFormat="1" ht="17.5" customHeight="1" x14ac:dyDescent="0.45">
      <c r="B24" s="50" t="s">
        <v>3</v>
      </c>
      <c r="C24" s="37"/>
      <c r="D24" s="38"/>
      <c r="E24" s="37"/>
      <c r="F24" s="38"/>
      <c r="G24" s="39"/>
      <c r="H24" s="38"/>
      <c r="I24" s="39"/>
      <c r="J24" s="38"/>
      <c r="K24" s="39"/>
      <c r="L24" s="38"/>
      <c r="M24" s="39"/>
      <c r="N24" s="38"/>
      <c r="O24" s="39"/>
      <c r="P24" s="38"/>
      <c r="Q24" s="22"/>
    </row>
    <row r="25" spans="2:21" s="23" customFormat="1" ht="17.5" customHeight="1" x14ac:dyDescent="0.45">
      <c r="B25" s="50" t="s">
        <v>4</v>
      </c>
      <c r="C25" s="37"/>
      <c r="D25" s="38"/>
      <c r="E25" s="37"/>
      <c r="F25" s="38"/>
      <c r="G25" s="39"/>
      <c r="H25" s="38"/>
      <c r="I25" s="39"/>
      <c r="J25" s="38"/>
      <c r="K25" s="39"/>
      <c r="L25" s="38"/>
      <c r="M25" s="39"/>
      <c r="N25" s="38"/>
      <c r="O25" s="39"/>
      <c r="P25" s="38"/>
      <c r="Q25" s="22"/>
    </row>
    <row r="26" spans="2:21" s="23" customFormat="1" ht="17.5" customHeight="1" x14ac:dyDescent="0.45">
      <c r="B26" s="50" t="s">
        <v>2</v>
      </c>
      <c r="C26" s="37"/>
      <c r="D26" s="38"/>
      <c r="E26" s="37"/>
      <c r="F26" s="38"/>
      <c r="G26" s="39"/>
      <c r="H26" s="38"/>
      <c r="I26" s="39"/>
      <c r="J26" s="38"/>
      <c r="K26" s="39"/>
      <c r="L26" s="38"/>
      <c r="M26" s="39"/>
      <c r="N26" s="38"/>
      <c r="O26" s="39"/>
      <c r="P26" s="38"/>
      <c r="Q26" s="22"/>
    </row>
    <row r="27" spans="2:21" s="23" customFormat="1" ht="17.5" customHeight="1" x14ac:dyDescent="0.45">
      <c r="B27" s="50"/>
      <c r="C27" s="37"/>
      <c r="D27" s="38"/>
      <c r="E27" s="37"/>
      <c r="F27" s="38"/>
      <c r="G27" s="39"/>
      <c r="H27" s="38"/>
      <c r="I27" s="39"/>
      <c r="J27" s="38"/>
      <c r="K27" s="39"/>
      <c r="L27" s="38"/>
      <c r="M27" s="39"/>
      <c r="N27" s="38"/>
      <c r="O27" s="39"/>
      <c r="P27" s="38"/>
      <c r="Q27" s="22"/>
    </row>
    <row r="28" spans="2:21" s="23" customFormat="1" ht="17.5" customHeight="1" x14ac:dyDescent="0.45">
      <c r="B28" s="50" t="s">
        <v>6</v>
      </c>
      <c r="C28" s="37"/>
      <c r="D28" s="38"/>
      <c r="E28" s="37"/>
      <c r="F28" s="38"/>
      <c r="G28" s="39"/>
      <c r="H28" s="38"/>
      <c r="I28" s="39"/>
      <c r="J28" s="38"/>
      <c r="K28" s="39"/>
      <c r="L28" s="38"/>
      <c r="M28" s="39"/>
      <c r="N28" s="38"/>
      <c r="O28" s="39"/>
      <c r="P28" s="38"/>
      <c r="Q28" s="22"/>
    </row>
    <row r="29" spans="2:21" s="23" customFormat="1" ht="17.5" customHeight="1" x14ac:dyDescent="0.45">
      <c r="B29" s="50"/>
      <c r="C29" s="37"/>
      <c r="D29" s="38"/>
      <c r="E29" s="37"/>
      <c r="F29" s="38"/>
      <c r="G29" s="39"/>
      <c r="H29" s="38"/>
      <c r="I29" s="39"/>
      <c r="J29" s="38"/>
      <c r="K29" s="39"/>
      <c r="L29" s="38"/>
      <c r="M29" s="39"/>
      <c r="N29" s="38"/>
      <c r="O29" s="39"/>
      <c r="P29" s="38"/>
      <c r="Q29" s="22"/>
    </row>
    <row r="30" spans="2:21" s="23" customFormat="1" ht="17.5" customHeight="1" x14ac:dyDescent="0.35">
      <c r="B30" s="48"/>
      <c r="C30" s="37"/>
      <c r="D30" s="38"/>
      <c r="E30" s="37"/>
      <c r="F30" s="38"/>
      <c r="G30" s="39"/>
      <c r="H30" s="38"/>
      <c r="I30" s="39"/>
      <c r="J30" s="38"/>
      <c r="K30" s="39"/>
      <c r="L30" s="38"/>
      <c r="M30" s="39"/>
      <c r="N30" s="38"/>
      <c r="O30" s="39"/>
      <c r="P30" s="38"/>
      <c r="Q30" s="22"/>
    </row>
    <row r="31" spans="2:21" s="23" customFormat="1" ht="17.5" customHeight="1" x14ac:dyDescent="0.35">
      <c r="B31" s="48"/>
      <c r="C31" s="37"/>
      <c r="D31" s="38"/>
      <c r="E31" s="37"/>
      <c r="F31" s="38"/>
      <c r="G31" s="39"/>
      <c r="H31" s="38"/>
      <c r="I31" s="39"/>
      <c r="J31" s="38"/>
      <c r="K31" s="39"/>
      <c r="L31" s="38"/>
      <c r="M31" s="39"/>
      <c r="N31" s="38"/>
      <c r="O31" s="39"/>
      <c r="P31" s="38"/>
      <c r="Q31" s="22"/>
    </row>
    <row r="32" spans="2:21" s="23" customFormat="1" ht="17.5" customHeight="1" x14ac:dyDescent="0.35">
      <c r="B32" s="48"/>
      <c r="C32" s="37"/>
      <c r="D32" s="38"/>
      <c r="E32" s="37"/>
      <c r="F32" s="38"/>
      <c r="G32" s="39"/>
      <c r="H32" s="38"/>
      <c r="I32" s="39"/>
      <c r="J32" s="38"/>
      <c r="K32" s="39"/>
      <c r="L32" s="38"/>
      <c r="M32" s="39"/>
      <c r="N32" s="38"/>
      <c r="O32" s="39"/>
      <c r="P32" s="38"/>
      <c r="Q32" s="22"/>
    </row>
    <row r="33" spans="2:21" s="23" customFormat="1" ht="17.5" customHeight="1" x14ac:dyDescent="0.35">
      <c r="B33" s="49"/>
      <c r="C33" s="40" t="s">
        <v>5</v>
      </c>
      <c r="D33" s="38"/>
      <c r="E33" s="40" t="s">
        <v>5</v>
      </c>
      <c r="F33" s="38"/>
      <c r="G33" s="40" t="s">
        <v>5</v>
      </c>
      <c r="H33" s="38"/>
      <c r="I33" s="40" t="s">
        <v>5</v>
      </c>
      <c r="J33" s="38"/>
      <c r="K33" s="40" t="s">
        <v>5</v>
      </c>
      <c r="L33" s="38"/>
      <c r="M33" s="40" t="s">
        <v>5</v>
      </c>
      <c r="N33" s="38"/>
      <c r="O33" s="40" t="s">
        <v>5</v>
      </c>
      <c r="P33" s="38"/>
      <c r="Q33" s="22"/>
    </row>
    <row r="34" spans="2:21" s="51" customFormat="1" ht="18" customHeight="1" x14ac:dyDescent="0.3">
      <c r="B34" s="52"/>
      <c r="C34" s="55">
        <f>IF(DAY(FebSun1)=1,IF(AND(YEAR(FebSun1+8)=CalendarYear,MONTH(FebSun1+8)=2),FebSun1+8,""),IF(AND(YEAR(FebSun1+15)=CalendarYear,MONTH(FebSun1+15)=2),FebSun1+15,""))</f>
        <v>44242</v>
      </c>
      <c r="D34" s="61" t="s">
        <v>29</v>
      </c>
      <c r="E34" s="55">
        <f>IF(DAY(FebSun1)=1,IF(AND(YEAR(FebSun1+9)=CalendarYear,MONTH(FebSun1+9)=2),FebSun1+9,""),IF(AND(YEAR(FebSun1+16)=CalendarYear,MONTH(FebSun1+16)=2),FebSun1+16,""))</f>
        <v>44243</v>
      </c>
      <c r="F34" s="61" t="s">
        <v>29</v>
      </c>
      <c r="G34" s="56">
        <f>IF(DAY(FebSun1)=1,IF(AND(YEAR(FebSun1+10)=CalendarYear,MONTH(FebSun1+10)=2),FebSun1+10,""),IF(AND(YEAR(FebSun1+17)=CalendarYear,MONTH(FebSun1+17)=2),FebSun1+17,""))</f>
        <v>44244</v>
      </c>
      <c r="H34" s="61" t="s">
        <v>29</v>
      </c>
      <c r="I34" s="56">
        <f>IF(DAY(FebSun1)=1,IF(AND(YEAR(FebSun1+11)=CalendarYear,MONTH(FebSun1+11)=2),FebSun1+11,""),IF(AND(YEAR(FebSun1+18)=CalendarYear,MONTH(FebSun1+18)=2),FebSun1+18,""))</f>
        <v>44245</v>
      </c>
      <c r="J34" s="61" t="s">
        <v>29</v>
      </c>
      <c r="K34" s="56">
        <f>IF(DAY(FebSun1)=1,IF(AND(YEAR(FebSun1+12)=CalendarYear,MONTH(FebSun1+12)=2),FebSun1+12,""),IF(AND(YEAR(FebSun1+19)=CalendarYear,MONTH(FebSun1+19)=2),FebSun1+19,""))</f>
        <v>44246</v>
      </c>
      <c r="L34" s="61" t="s">
        <v>29</v>
      </c>
      <c r="M34" s="56">
        <f>IF(DAY(FebSun1)=1,IF(AND(YEAR(FebSun1+13)=CalendarYear,MONTH(FebSun1+13)=2),FebSun1+13,""),IF(AND(YEAR(FebSun1+20)=CalendarYear,MONTH(FebSun1+20)=2),FebSun1+20,""))</f>
        <v>44247</v>
      </c>
      <c r="N34" s="61" t="s">
        <v>29</v>
      </c>
      <c r="O34" s="56">
        <f>IF(DAY(FebSun1)=1,IF(AND(YEAR(FebSun1+14)=CalendarYear,MONTH(FebSun1+14)=2),FebSun1+14,""),IF(AND(YEAR(FebSun1+21)=CalendarYear,MONTH(FebSun1+21)=2),FebSun1+21,""))</f>
        <v>44248</v>
      </c>
      <c r="P34" s="61" t="s">
        <v>29</v>
      </c>
      <c r="Q34" s="47"/>
      <c r="T34" s="53"/>
      <c r="U34" s="54"/>
    </row>
    <row r="35" spans="2:21" s="23" customFormat="1" ht="17.5" customHeight="1" x14ac:dyDescent="0.45">
      <c r="B35" s="50" t="s">
        <v>1</v>
      </c>
      <c r="C35" s="25"/>
      <c r="D35" s="26"/>
      <c r="E35" s="25"/>
      <c r="F35" s="26"/>
      <c r="G35" s="27"/>
      <c r="H35" s="26"/>
      <c r="I35" s="27"/>
      <c r="J35" s="26"/>
      <c r="K35" s="27"/>
      <c r="L35" s="26"/>
      <c r="M35" s="27"/>
      <c r="N35" s="26"/>
      <c r="O35" s="27"/>
      <c r="P35" s="26"/>
      <c r="Q35" s="22"/>
    </row>
    <row r="36" spans="2:21" s="23" customFormat="1" ht="17.5" customHeight="1" x14ac:dyDescent="0.45">
      <c r="B36" s="50" t="s">
        <v>2</v>
      </c>
      <c r="C36" s="28"/>
      <c r="D36" s="29"/>
      <c r="E36" s="28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22"/>
    </row>
    <row r="37" spans="2:21" s="23" customFormat="1" ht="17.5" customHeight="1" x14ac:dyDescent="0.45">
      <c r="B37" s="50" t="s">
        <v>3</v>
      </c>
      <c r="C37" s="28"/>
      <c r="D37" s="29"/>
      <c r="E37" s="28"/>
      <c r="F37" s="29"/>
      <c r="G37" s="30"/>
      <c r="H37" s="29"/>
      <c r="I37" s="30"/>
      <c r="J37" s="29"/>
      <c r="K37" s="30"/>
      <c r="L37" s="29"/>
      <c r="M37" s="30"/>
      <c r="N37" s="29"/>
      <c r="O37" s="30"/>
      <c r="P37" s="29"/>
      <c r="Q37" s="22"/>
    </row>
    <row r="38" spans="2:21" s="23" customFormat="1" ht="17.5" customHeight="1" x14ac:dyDescent="0.45">
      <c r="B38" s="50" t="s">
        <v>4</v>
      </c>
      <c r="C38" s="28"/>
      <c r="D38" s="29"/>
      <c r="E38" s="28"/>
      <c r="F38" s="29"/>
      <c r="G38" s="30"/>
      <c r="H38" s="29"/>
      <c r="I38" s="30"/>
      <c r="J38" s="29"/>
      <c r="K38" s="30"/>
      <c r="L38" s="29"/>
      <c r="M38" s="30"/>
      <c r="N38" s="29"/>
      <c r="O38" s="30"/>
      <c r="P38" s="29"/>
      <c r="Q38" s="22"/>
    </row>
    <row r="39" spans="2:21" s="23" customFormat="1" ht="17.5" customHeight="1" x14ac:dyDescent="0.45">
      <c r="B39" s="50" t="s">
        <v>2</v>
      </c>
      <c r="C39" s="28"/>
      <c r="D39" s="29"/>
      <c r="E39" s="28"/>
      <c r="F39" s="29"/>
      <c r="G39" s="30"/>
      <c r="H39" s="29"/>
      <c r="I39" s="30"/>
      <c r="J39" s="29"/>
      <c r="K39" s="30"/>
      <c r="L39" s="29"/>
      <c r="M39" s="30"/>
      <c r="N39" s="29"/>
      <c r="O39" s="30"/>
      <c r="P39" s="29"/>
      <c r="Q39" s="22"/>
    </row>
    <row r="40" spans="2:21" s="23" customFormat="1" ht="17.5" customHeight="1" x14ac:dyDescent="0.45">
      <c r="B40" s="50"/>
      <c r="C40" s="28"/>
      <c r="D40" s="29"/>
      <c r="E40" s="28"/>
      <c r="F40" s="29"/>
      <c r="G40" s="30"/>
      <c r="H40" s="29"/>
      <c r="I40" s="30"/>
      <c r="J40" s="29"/>
      <c r="K40" s="30"/>
      <c r="L40" s="29"/>
      <c r="M40" s="30"/>
      <c r="N40" s="29"/>
      <c r="O40" s="30"/>
      <c r="P40" s="29"/>
      <c r="Q40" s="22"/>
    </row>
    <row r="41" spans="2:21" s="23" customFormat="1" ht="17.5" customHeight="1" x14ac:dyDescent="0.45">
      <c r="B41" s="50" t="s">
        <v>6</v>
      </c>
      <c r="C41" s="28"/>
      <c r="D41" s="29"/>
      <c r="E41" s="28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22"/>
    </row>
    <row r="42" spans="2:21" s="23" customFormat="1" ht="17.5" customHeight="1" x14ac:dyDescent="0.45">
      <c r="B42" s="50"/>
      <c r="C42" s="28"/>
      <c r="D42" s="29"/>
      <c r="E42" s="28"/>
      <c r="F42" s="29"/>
      <c r="G42" s="30"/>
      <c r="H42" s="29"/>
      <c r="I42" s="30"/>
      <c r="J42" s="29"/>
      <c r="K42" s="30"/>
      <c r="L42" s="29"/>
      <c r="M42" s="30"/>
      <c r="N42" s="29"/>
      <c r="O42" s="30"/>
      <c r="P42" s="29"/>
      <c r="Q42" s="22"/>
    </row>
    <row r="43" spans="2:21" s="23" customFormat="1" ht="17.5" customHeight="1" x14ac:dyDescent="0.35">
      <c r="B43" s="48"/>
      <c r="C43" s="28"/>
      <c r="D43" s="29"/>
      <c r="E43" s="28"/>
      <c r="F43" s="29"/>
      <c r="G43" s="30"/>
      <c r="H43" s="29"/>
      <c r="I43" s="30"/>
      <c r="J43" s="29"/>
      <c r="K43" s="30"/>
      <c r="L43" s="29"/>
      <c r="M43" s="30"/>
      <c r="N43" s="29"/>
      <c r="O43" s="30"/>
      <c r="P43" s="29"/>
      <c r="Q43" s="22"/>
    </row>
    <row r="44" spans="2:21" s="23" customFormat="1" ht="17.5" customHeight="1" x14ac:dyDescent="0.35">
      <c r="B44" s="48"/>
      <c r="C44" s="28"/>
      <c r="D44" s="29"/>
      <c r="E44" s="28"/>
      <c r="F44" s="29"/>
      <c r="G44" s="30"/>
      <c r="H44" s="29"/>
      <c r="I44" s="30"/>
      <c r="J44" s="29"/>
      <c r="K44" s="30"/>
      <c r="L44" s="29"/>
      <c r="M44" s="30"/>
      <c r="N44" s="29"/>
      <c r="O44" s="30"/>
      <c r="P44" s="29"/>
      <c r="Q44" s="22"/>
    </row>
    <row r="45" spans="2:21" s="23" customFormat="1" ht="17.5" customHeight="1" x14ac:dyDescent="0.35">
      <c r="B45" s="48"/>
      <c r="C45" s="28"/>
      <c r="D45" s="29"/>
      <c r="E45" s="28"/>
      <c r="F45" s="29"/>
      <c r="G45" s="30"/>
      <c r="H45" s="29"/>
      <c r="I45" s="30"/>
      <c r="J45" s="29"/>
      <c r="K45" s="30"/>
      <c r="L45" s="29"/>
      <c r="M45" s="30"/>
      <c r="N45" s="29"/>
      <c r="O45" s="30"/>
      <c r="P45" s="29"/>
      <c r="Q45" s="22"/>
    </row>
    <row r="46" spans="2:21" s="23" customFormat="1" ht="17.5" customHeight="1" x14ac:dyDescent="0.35">
      <c r="B46" s="49"/>
      <c r="C46" s="31" t="s">
        <v>5</v>
      </c>
      <c r="D46" s="29"/>
      <c r="E46" s="31" t="s">
        <v>5</v>
      </c>
      <c r="F46" s="29"/>
      <c r="G46" s="31" t="s">
        <v>5</v>
      </c>
      <c r="H46" s="29"/>
      <c r="I46" s="31" t="s">
        <v>5</v>
      </c>
      <c r="J46" s="29"/>
      <c r="K46" s="31" t="s">
        <v>5</v>
      </c>
      <c r="L46" s="29"/>
      <c r="M46" s="31" t="s">
        <v>5</v>
      </c>
      <c r="N46" s="29"/>
      <c r="O46" s="31" t="s">
        <v>5</v>
      </c>
      <c r="P46" s="29"/>
      <c r="Q46" s="22"/>
    </row>
    <row r="47" spans="2:21" s="51" customFormat="1" ht="18" customHeight="1" x14ac:dyDescent="0.3">
      <c r="B47" s="52"/>
      <c r="C47" s="55">
        <f>IF(DAY(FebSun1)=1,IF(AND(YEAR(FebSun1+15)=CalendarYear,MONTH(FebSun1+15)=2),FebSun1+15,""),IF(AND(YEAR(FebSun1+22)=CalendarYear,MONTH(FebSun1+22)=2),FebSun1+22,""))</f>
        <v>44249</v>
      </c>
      <c r="D47" s="61" t="s">
        <v>29</v>
      </c>
      <c r="E47" s="55">
        <f>IF(DAY(FebSun1)=1,IF(AND(YEAR(FebSun1+16)=CalendarYear,MONTH(FebSun1+16)=2),FebSun1+16,""),IF(AND(YEAR(FebSun1+23)=CalendarYear,MONTH(FebSun1+23)=2),FebSun1+23,""))</f>
        <v>44250</v>
      </c>
      <c r="F47" s="61" t="s">
        <v>29</v>
      </c>
      <c r="G47" s="56">
        <f>IF(DAY(FebSun1)=1,IF(AND(YEAR(FebSun1+17)=CalendarYear,MONTH(FebSun1+17)=2),FebSun1+17,""),IF(AND(YEAR(FebSun1+24)=CalendarYear,MONTH(FebSun1+24)=2),FebSun1+24,""))</f>
        <v>44251</v>
      </c>
      <c r="H47" s="61" t="s">
        <v>29</v>
      </c>
      <c r="I47" s="56">
        <f>IF(DAY(FebSun1)=1,IF(AND(YEAR(FebSun1+18)=CalendarYear,MONTH(FebSun1+18)=2),FebSun1+18,""),IF(AND(YEAR(FebSun1+25)=CalendarYear,MONTH(FebSun1+25)=2),FebSun1+25,""))</f>
        <v>44252</v>
      </c>
      <c r="J47" s="61" t="s">
        <v>29</v>
      </c>
      <c r="K47" s="56">
        <f>IF(DAY(FebSun1)=1,IF(AND(YEAR(FebSun1+19)=CalendarYear,MONTH(FebSun1+19)=2),FebSun1+19,""),IF(AND(YEAR(FebSun1+26)=CalendarYear,MONTH(FebSun1+26)=2),FebSun1+26,""))</f>
        <v>44253</v>
      </c>
      <c r="L47" s="61" t="s">
        <v>29</v>
      </c>
      <c r="M47" s="56">
        <f>IF(DAY(FebSun1)=1,IF(AND(YEAR(FebSun1+20)=CalendarYear,MONTH(FebSun1+20)=2),FebSun1+20,""),IF(AND(YEAR(FebSun1+27)=CalendarYear,MONTH(FebSun1+27)=2),FebSun1+27,""))</f>
        <v>44254</v>
      </c>
      <c r="N47" s="61" t="s">
        <v>29</v>
      </c>
      <c r="O47" s="56">
        <f>IF(DAY(FebSun1)=1,IF(AND(YEAR(FebSun1+21)=CalendarYear,MONTH(FebSun1+21)=2),FebSun1+21,""),IF(AND(YEAR(FebSun1+28)=CalendarYear,MONTH(FebSun1+28)=2),FebSun1+28,""))</f>
        <v>44255</v>
      </c>
      <c r="P47" s="61" t="s">
        <v>29</v>
      </c>
      <c r="Q47" s="47"/>
      <c r="T47" s="53"/>
      <c r="U47" s="54"/>
    </row>
    <row r="48" spans="2:21" s="23" customFormat="1" ht="17.5" customHeight="1" x14ac:dyDescent="0.45">
      <c r="B48" s="50" t="s">
        <v>1</v>
      </c>
      <c r="C48" s="34"/>
      <c r="D48" s="35"/>
      <c r="E48" s="34"/>
      <c r="F48" s="35"/>
      <c r="G48" s="36"/>
      <c r="H48" s="35"/>
      <c r="I48" s="36"/>
      <c r="J48" s="35"/>
      <c r="K48" s="36"/>
      <c r="L48" s="35"/>
      <c r="M48" s="36"/>
      <c r="N48" s="35"/>
      <c r="O48" s="36"/>
      <c r="P48" s="35"/>
      <c r="Q48" s="22"/>
    </row>
    <row r="49" spans="2:21" s="23" customFormat="1" ht="17.5" customHeight="1" x14ac:dyDescent="0.45">
      <c r="B49" s="50" t="s">
        <v>2</v>
      </c>
      <c r="C49" s="37"/>
      <c r="D49" s="38"/>
      <c r="E49" s="37"/>
      <c r="F49" s="38"/>
      <c r="G49" s="39"/>
      <c r="H49" s="38"/>
      <c r="I49" s="39"/>
      <c r="J49" s="38"/>
      <c r="K49" s="39"/>
      <c r="L49" s="38"/>
      <c r="M49" s="39"/>
      <c r="N49" s="38"/>
      <c r="O49" s="39"/>
      <c r="P49" s="38"/>
      <c r="Q49" s="22"/>
    </row>
    <row r="50" spans="2:21" s="23" customFormat="1" ht="17.5" customHeight="1" x14ac:dyDescent="0.45">
      <c r="B50" s="50" t="s">
        <v>3</v>
      </c>
      <c r="C50" s="37"/>
      <c r="D50" s="38"/>
      <c r="E50" s="37"/>
      <c r="F50" s="38"/>
      <c r="G50" s="39"/>
      <c r="H50" s="38"/>
      <c r="I50" s="39"/>
      <c r="J50" s="38"/>
      <c r="K50" s="39"/>
      <c r="L50" s="38"/>
      <c r="M50" s="39"/>
      <c r="N50" s="38"/>
      <c r="O50" s="39"/>
      <c r="P50" s="38"/>
      <c r="Q50" s="22"/>
    </row>
    <row r="51" spans="2:21" s="23" customFormat="1" ht="17.5" customHeight="1" x14ac:dyDescent="0.45">
      <c r="B51" s="50" t="s">
        <v>4</v>
      </c>
      <c r="C51" s="37"/>
      <c r="D51" s="38"/>
      <c r="E51" s="37"/>
      <c r="F51" s="38"/>
      <c r="G51" s="39"/>
      <c r="H51" s="38"/>
      <c r="I51" s="39"/>
      <c r="J51" s="38"/>
      <c r="K51" s="39"/>
      <c r="L51" s="38"/>
      <c r="M51" s="39"/>
      <c r="N51" s="38"/>
      <c r="O51" s="39"/>
      <c r="P51" s="38"/>
      <c r="Q51" s="22"/>
    </row>
    <row r="52" spans="2:21" s="23" customFormat="1" ht="17.5" customHeight="1" x14ac:dyDescent="0.45">
      <c r="B52" s="50" t="s">
        <v>2</v>
      </c>
      <c r="C52" s="37"/>
      <c r="D52" s="38"/>
      <c r="E52" s="37"/>
      <c r="F52" s="38"/>
      <c r="G52" s="39"/>
      <c r="H52" s="38"/>
      <c r="I52" s="39"/>
      <c r="J52" s="38"/>
      <c r="K52" s="39"/>
      <c r="L52" s="38"/>
      <c r="M52" s="39"/>
      <c r="N52" s="38"/>
      <c r="O52" s="39"/>
      <c r="P52" s="38"/>
      <c r="Q52" s="22"/>
    </row>
    <row r="53" spans="2:21" s="23" customFormat="1" ht="17.5" customHeight="1" x14ac:dyDescent="0.45">
      <c r="B53" s="50"/>
      <c r="C53" s="37"/>
      <c r="D53" s="38"/>
      <c r="E53" s="37"/>
      <c r="F53" s="38"/>
      <c r="G53" s="39"/>
      <c r="H53" s="38"/>
      <c r="I53" s="39"/>
      <c r="J53" s="38"/>
      <c r="K53" s="39"/>
      <c r="L53" s="38"/>
      <c r="M53" s="39"/>
      <c r="N53" s="38"/>
      <c r="O53" s="39"/>
      <c r="P53" s="38"/>
      <c r="Q53" s="22"/>
    </row>
    <row r="54" spans="2:21" s="23" customFormat="1" ht="17.5" customHeight="1" x14ac:dyDescent="0.45">
      <c r="B54" s="50" t="s">
        <v>6</v>
      </c>
      <c r="C54" s="37"/>
      <c r="D54" s="38"/>
      <c r="E54" s="37"/>
      <c r="F54" s="38"/>
      <c r="G54" s="39"/>
      <c r="H54" s="38"/>
      <c r="I54" s="39"/>
      <c r="J54" s="38"/>
      <c r="K54" s="39"/>
      <c r="L54" s="38"/>
      <c r="M54" s="39"/>
      <c r="N54" s="38"/>
      <c r="O54" s="39"/>
      <c r="P54" s="38"/>
      <c r="Q54" s="22"/>
    </row>
    <row r="55" spans="2:21" s="23" customFormat="1" ht="17.5" customHeight="1" x14ac:dyDescent="0.45">
      <c r="B55" s="50"/>
      <c r="C55" s="37"/>
      <c r="D55" s="38"/>
      <c r="E55" s="37"/>
      <c r="F55" s="38"/>
      <c r="G55" s="39"/>
      <c r="H55" s="38"/>
      <c r="I55" s="39"/>
      <c r="J55" s="38"/>
      <c r="K55" s="39"/>
      <c r="L55" s="38"/>
      <c r="M55" s="39"/>
      <c r="N55" s="38"/>
      <c r="O55" s="39"/>
      <c r="P55" s="38"/>
      <c r="Q55" s="22"/>
    </row>
    <row r="56" spans="2:21" s="23" customFormat="1" ht="17.5" customHeight="1" x14ac:dyDescent="0.35">
      <c r="B56" s="48"/>
      <c r="C56" s="37"/>
      <c r="D56" s="38"/>
      <c r="E56" s="37"/>
      <c r="F56" s="38"/>
      <c r="G56" s="39"/>
      <c r="H56" s="38"/>
      <c r="I56" s="39"/>
      <c r="J56" s="38"/>
      <c r="K56" s="39"/>
      <c r="L56" s="38"/>
      <c r="M56" s="39"/>
      <c r="N56" s="38"/>
      <c r="O56" s="39"/>
      <c r="P56" s="38"/>
      <c r="Q56" s="22"/>
    </row>
    <row r="57" spans="2:21" s="23" customFormat="1" ht="17.5" customHeight="1" x14ac:dyDescent="0.35">
      <c r="B57" s="48"/>
      <c r="C57" s="37"/>
      <c r="D57" s="38"/>
      <c r="E57" s="37"/>
      <c r="F57" s="38"/>
      <c r="G57" s="39"/>
      <c r="H57" s="38"/>
      <c r="I57" s="39"/>
      <c r="J57" s="38"/>
      <c r="K57" s="39"/>
      <c r="L57" s="38"/>
      <c r="M57" s="39"/>
      <c r="N57" s="38"/>
      <c r="O57" s="39"/>
      <c r="P57" s="38"/>
      <c r="Q57" s="22"/>
    </row>
    <row r="58" spans="2:21" s="23" customFormat="1" ht="17.5" customHeight="1" x14ac:dyDescent="0.35">
      <c r="B58" s="48"/>
      <c r="C58" s="37"/>
      <c r="D58" s="38"/>
      <c r="E58" s="37"/>
      <c r="F58" s="38"/>
      <c r="G58" s="39"/>
      <c r="H58" s="38"/>
      <c r="I58" s="39"/>
      <c r="J58" s="38"/>
      <c r="K58" s="39"/>
      <c r="L58" s="38"/>
      <c r="M58" s="39"/>
      <c r="N58" s="38"/>
      <c r="O58" s="39"/>
      <c r="P58" s="38"/>
      <c r="Q58" s="22"/>
    </row>
    <row r="59" spans="2:21" s="23" customFormat="1" ht="17.5" customHeight="1" x14ac:dyDescent="0.35">
      <c r="B59" s="49"/>
      <c r="C59" s="40" t="s">
        <v>5</v>
      </c>
      <c r="D59" s="38"/>
      <c r="E59" s="40" t="s">
        <v>5</v>
      </c>
      <c r="F59" s="38"/>
      <c r="G59" s="40" t="s">
        <v>5</v>
      </c>
      <c r="H59" s="38"/>
      <c r="I59" s="40" t="s">
        <v>5</v>
      </c>
      <c r="J59" s="38"/>
      <c r="K59" s="40" t="s">
        <v>5</v>
      </c>
      <c r="L59" s="38"/>
      <c r="M59" s="40" t="s">
        <v>5</v>
      </c>
      <c r="N59" s="38"/>
      <c r="O59" s="40" t="s">
        <v>5</v>
      </c>
      <c r="P59" s="38"/>
      <c r="Q59" s="22"/>
    </row>
    <row r="60" spans="2:21" s="51" customFormat="1" ht="18" customHeight="1" x14ac:dyDescent="0.3">
      <c r="B60" s="52"/>
      <c r="C60" s="55" t="str">
        <f>IF(DAY(FebSun1)=1,IF(AND(YEAR(FebSun1+22)=CalendarYear,MONTH(FebSun1+22)=2),FebSun1+22,""),IF(AND(YEAR(FebSun1+29)=CalendarYear,MONTH(FebSun1+29)=2),FebSun1+29,""))</f>
        <v/>
      </c>
      <c r="D60" s="61" t="s">
        <v>29</v>
      </c>
      <c r="E60" s="55" t="str">
        <f>IF(DAY(FebSun1)=1,IF(AND(YEAR(FebSun1+23)=CalendarYear,MONTH(FebSun1+23)=2),FebSun1+23,""),IF(AND(YEAR(FebSun1+30)=CalendarYear,MONTH(FebSun1+30)=2),FebSun1+30,""))</f>
        <v/>
      </c>
      <c r="F60" s="61" t="s">
        <v>29</v>
      </c>
      <c r="G60" s="56" t="str">
        <f>IF(DAY(FebSun1)=1,IF(AND(YEAR(FebSun1+24)=CalendarYear,MONTH(FebSun1+24)=2),FebSun1+24,""),IF(AND(YEAR(FebSun1+31)=CalendarYear,MONTH(FebSun1+31)=2),FebSun1+31,""))</f>
        <v/>
      </c>
      <c r="H60" s="61" t="s">
        <v>29</v>
      </c>
      <c r="I60" s="56" t="str">
        <f>IF(DAY(FebSun1)=1,IF(AND(YEAR(FebSun1+25)=CalendarYear,MONTH(FebSun1+25)=2),FebSun1+25,""),IF(AND(YEAR(FebSun1+32)=CalendarYear,MONTH(FebSun1+32)=2),FebSun1+32,""))</f>
        <v/>
      </c>
      <c r="J60" s="61" t="s">
        <v>29</v>
      </c>
      <c r="K60" s="56" t="str">
        <f>IF(DAY(FebSun1)=1,IF(AND(YEAR(FebSun1+26)=CalendarYear,MONTH(FebSun1+26)=2),FebSun1+26,""),IF(AND(YEAR(FebSun1+33)=CalendarYear,MONTH(FebSun1+33)=2),FebSun1+33,""))</f>
        <v/>
      </c>
      <c r="L60" s="61" t="s">
        <v>29</v>
      </c>
      <c r="M60" s="56" t="str">
        <f>IF(DAY(FebSun1)=1,IF(AND(YEAR(FebSun1+27)=CalendarYear,MONTH(FebSun1+27)=2),FebSun1+27,""),IF(AND(YEAR(FebSun1+34)=CalendarYear,MONTH(FebSun1+34)=2),FebSun1+34,""))</f>
        <v/>
      </c>
      <c r="N60" s="61" t="s">
        <v>29</v>
      </c>
      <c r="O60" s="56" t="str">
        <f>IF(DAY(FebSun1)=1,IF(AND(YEAR(FebSun1+28)=CalendarYear,MONTH(FebSun1+28)=2),FebSun1+28,""),IF(AND(YEAR(FebSun1+35)=CalendarYear,MONTH(FebSun1+35)=2),FebSun1+35,""))</f>
        <v/>
      </c>
      <c r="P60" s="61" t="s">
        <v>29</v>
      </c>
      <c r="Q60" s="47"/>
      <c r="T60" s="53"/>
      <c r="U60" s="54"/>
    </row>
    <row r="61" spans="2:21" s="23" customFormat="1" ht="17.5" customHeight="1" x14ac:dyDescent="0.45">
      <c r="B61" s="50" t="s">
        <v>1</v>
      </c>
      <c r="C61" s="25"/>
      <c r="D61" s="26"/>
      <c r="E61" s="25"/>
      <c r="F61" s="26"/>
      <c r="G61" s="27"/>
      <c r="H61" s="26"/>
      <c r="I61" s="27"/>
      <c r="J61" s="26"/>
      <c r="K61" s="27"/>
      <c r="L61" s="26"/>
      <c r="M61" s="27"/>
      <c r="N61" s="26"/>
      <c r="O61" s="27"/>
      <c r="P61" s="26"/>
      <c r="Q61" s="22"/>
    </row>
    <row r="62" spans="2:21" s="23" customFormat="1" ht="17.5" customHeight="1" x14ac:dyDescent="0.45">
      <c r="B62" s="50" t="s">
        <v>2</v>
      </c>
      <c r="C62" s="28"/>
      <c r="D62" s="29"/>
      <c r="E62" s="28"/>
      <c r="F62" s="29"/>
      <c r="G62" s="30"/>
      <c r="H62" s="29"/>
      <c r="I62" s="30"/>
      <c r="J62" s="29"/>
      <c r="K62" s="30"/>
      <c r="L62" s="29"/>
      <c r="M62" s="30"/>
      <c r="N62" s="29"/>
      <c r="O62" s="30"/>
      <c r="P62" s="29"/>
      <c r="Q62" s="22"/>
    </row>
    <row r="63" spans="2:21" s="23" customFormat="1" ht="17.5" customHeight="1" x14ac:dyDescent="0.45">
      <c r="B63" s="50" t="s">
        <v>3</v>
      </c>
      <c r="C63" s="28"/>
      <c r="D63" s="29"/>
      <c r="E63" s="28"/>
      <c r="F63" s="29"/>
      <c r="G63" s="30"/>
      <c r="H63" s="29"/>
      <c r="I63" s="30"/>
      <c r="J63" s="29"/>
      <c r="K63" s="30"/>
      <c r="L63" s="29"/>
      <c r="M63" s="30"/>
      <c r="N63" s="29"/>
      <c r="O63" s="30"/>
      <c r="P63" s="29"/>
      <c r="Q63" s="22"/>
    </row>
    <row r="64" spans="2:21" s="23" customFormat="1" ht="17.5" customHeight="1" x14ac:dyDescent="0.45">
      <c r="B64" s="50" t="s">
        <v>4</v>
      </c>
      <c r="C64" s="28"/>
      <c r="D64" s="29"/>
      <c r="E64" s="28"/>
      <c r="F64" s="29"/>
      <c r="G64" s="30"/>
      <c r="H64" s="29"/>
      <c r="I64" s="30"/>
      <c r="J64" s="29"/>
      <c r="K64" s="30"/>
      <c r="L64" s="29"/>
      <c r="M64" s="30"/>
      <c r="N64" s="29"/>
      <c r="O64" s="30"/>
      <c r="P64" s="29"/>
      <c r="Q64" s="22"/>
    </row>
    <row r="65" spans="1:21" s="23" customFormat="1" ht="17.5" customHeight="1" x14ac:dyDescent="0.45">
      <c r="B65" s="50" t="s">
        <v>2</v>
      </c>
      <c r="C65" s="28"/>
      <c r="D65" s="29"/>
      <c r="E65" s="28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22"/>
    </row>
    <row r="66" spans="1:21" s="23" customFormat="1" ht="17.5" customHeight="1" x14ac:dyDescent="0.45">
      <c r="B66" s="50"/>
      <c r="C66" s="28"/>
      <c r="D66" s="29"/>
      <c r="E66" s="28"/>
      <c r="F66" s="29"/>
      <c r="G66" s="30"/>
      <c r="H66" s="29"/>
      <c r="I66" s="30"/>
      <c r="J66" s="29"/>
      <c r="K66" s="30"/>
      <c r="L66" s="29"/>
      <c r="M66" s="30"/>
      <c r="N66" s="29"/>
      <c r="O66" s="30"/>
      <c r="P66" s="29"/>
      <c r="Q66" s="22"/>
    </row>
    <row r="67" spans="1:21" s="23" customFormat="1" ht="17.5" customHeight="1" x14ac:dyDescent="0.45">
      <c r="B67" s="50" t="s">
        <v>6</v>
      </c>
      <c r="C67" s="28"/>
      <c r="D67" s="29"/>
      <c r="E67" s="28"/>
      <c r="F67" s="29"/>
      <c r="G67" s="30"/>
      <c r="H67" s="29"/>
      <c r="I67" s="30"/>
      <c r="J67" s="29"/>
      <c r="K67" s="30"/>
      <c r="L67" s="29"/>
      <c r="M67" s="30"/>
      <c r="N67" s="29"/>
      <c r="O67" s="30"/>
      <c r="P67" s="29"/>
      <c r="Q67" s="22"/>
    </row>
    <row r="68" spans="1:21" s="23" customFormat="1" ht="17.5" customHeight="1" x14ac:dyDescent="0.45">
      <c r="B68" s="50"/>
      <c r="C68" s="28"/>
      <c r="D68" s="29"/>
      <c r="E68" s="28"/>
      <c r="F68" s="29"/>
      <c r="G68" s="30"/>
      <c r="H68" s="29"/>
      <c r="I68" s="30"/>
      <c r="J68" s="29"/>
      <c r="K68" s="30"/>
      <c r="L68" s="29"/>
      <c r="M68" s="30"/>
      <c r="N68" s="29"/>
      <c r="O68" s="30"/>
      <c r="P68" s="29"/>
      <c r="Q68" s="22"/>
    </row>
    <row r="69" spans="1:21" s="23" customFormat="1" ht="17.5" customHeight="1" x14ac:dyDescent="0.35">
      <c r="B69" s="48"/>
      <c r="C69" s="28"/>
      <c r="D69" s="29"/>
      <c r="E69" s="28"/>
      <c r="F69" s="29"/>
      <c r="G69" s="30"/>
      <c r="H69" s="29"/>
      <c r="I69" s="30"/>
      <c r="J69" s="29"/>
      <c r="K69" s="30"/>
      <c r="L69" s="29"/>
      <c r="M69" s="30"/>
      <c r="N69" s="29"/>
      <c r="O69" s="30"/>
      <c r="P69" s="29"/>
      <c r="Q69" s="22"/>
    </row>
    <row r="70" spans="1:21" s="23" customFormat="1" ht="17.5" customHeight="1" x14ac:dyDescent="0.35">
      <c r="B70" s="48"/>
      <c r="C70" s="28"/>
      <c r="D70" s="29"/>
      <c r="E70" s="28"/>
      <c r="F70" s="29"/>
      <c r="G70" s="30"/>
      <c r="H70" s="29"/>
      <c r="I70" s="30"/>
      <c r="J70" s="29"/>
      <c r="K70" s="30"/>
      <c r="L70" s="29"/>
      <c r="M70" s="30"/>
      <c r="N70" s="29"/>
      <c r="O70" s="30"/>
      <c r="P70" s="29"/>
      <c r="Q70" s="22"/>
    </row>
    <row r="71" spans="1:21" s="23" customFormat="1" ht="17.5" customHeight="1" x14ac:dyDescent="0.35">
      <c r="B71" s="48"/>
      <c r="C71" s="28"/>
      <c r="D71" s="29"/>
      <c r="E71" s="28"/>
      <c r="F71" s="29"/>
      <c r="G71" s="30"/>
      <c r="H71" s="29"/>
      <c r="I71" s="30"/>
      <c r="J71" s="29"/>
      <c r="K71" s="30"/>
      <c r="L71" s="29"/>
      <c r="M71" s="30"/>
      <c r="N71" s="29"/>
      <c r="O71" s="30"/>
      <c r="P71" s="29"/>
      <c r="Q71" s="22"/>
    </row>
    <row r="72" spans="1:21" s="23" customFormat="1" ht="17.5" customHeight="1" x14ac:dyDescent="0.35">
      <c r="B72" s="49"/>
      <c r="C72" s="31" t="s">
        <v>5</v>
      </c>
      <c r="D72" s="29"/>
      <c r="E72" s="31" t="s">
        <v>5</v>
      </c>
      <c r="F72" s="29"/>
      <c r="G72" s="31" t="s">
        <v>5</v>
      </c>
      <c r="H72" s="29"/>
      <c r="I72" s="31" t="s">
        <v>5</v>
      </c>
      <c r="J72" s="29"/>
      <c r="K72" s="31" t="s">
        <v>5</v>
      </c>
      <c r="L72" s="29"/>
      <c r="M72" s="31" t="s">
        <v>5</v>
      </c>
      <c r="N72" s="29"/>
      <c r="O72" s="31" t="s">
        <v>5</v>
      </c>
      <c r="P72" s="29"/>
      <c r="Q72" s="22"/>
    </row>
    <row r="73" spans="1:21" s="21" customFormat="1" ht="18" customHeight="1" x14ac:dyDescent="0.3">
      <c r="A73" s="51"/>
      <c r="B73" s="52"/>
      <c r="C73" s="55" t="str">
        <f>IF(DAY(FebSun1)=1,IF(AND(YEAR(FebSun1+29)=CalendarYear,MONTH(FebSun1+29)=2),FebSun1+29,""),IF(AND(YEAR(FebSun1+36)=CalendarYear,MONTH(FebSun1+36)=2),FebSun1+36,""))</f>
        <v/>
      </c>
      <c r="D73" s="61" t="s">
        <v>29</v>
      </c>
      <c r="E73" s="55" t="str">
        <f>IF(DAY(FebSun1)=1,IF(AND(YEAR(FebSun1+30)=CalendarYear,MONTH(FebSun1+30)=2),FebSun1+30,""),IF(AND(YEAR(FebSun1+37)=CalendarYear,MONTH(FebSun1+37)=2),FebSun1+37,""))</f>
        <v/>
      </c>
      <c r="F73" s="61" t="s">
        <v>29</v>
      </c>
      <c r="G73" s="56" t="s">
        <v>14</v>
      </c>
      <c r="H73" s="57"/>
      <c r="I73" s="58"/>
      <c r="J73" s="57"/>
      <c r="K73" s="58"/>
      <c r="L73" s="57"/>
      <c r="M73" s="58"/>
      <c r="N73" s="57"/>
      <c r="O73" s="58"/>
      <c r="P73" s="57"/>
      <c r="Q73" s="22"/>
      <c r="T73" s="23"/>
      <c r="U73" s="24"/>
    </row>
    <row r="74" spans="1:21" s="23" customFormat="1" ht="17.5" customHeight="1" x14ac:dyDescent="0.45">
      <c r="B74" s="50" t="s">
        <v>1</v>
      </c>
      <c r="C74" s="34"/>
      <c r="D74" s="35"/>
      <c r="E74" s="34"/>
      <c r="F74" s="35"/>
      <c r="G74" s="163"/>
      <c r="H74" s="164"/>
      <c r="I74" s="164"/>
      <c r="J74" s="164"/>
      <c r="K74" s="164"/>
      <c r="L74" s="164"/>
      <c r="M74" s="164"/>
      <c r="N74" s="164"/>
      <c r="O74" s="164"/>
      <c r="P74" s="165"/>
      <c r="Q74" s="22"/>
    </row>
    <row r="75" spans="1:21" s="23" customFormat="1" ht="17.5" customHeight="1" x14ac:dyDescent="0.45">
      <c r="B75" s="50" t="s">
        <v>2</v>
      </c>
      <c r="C75" s="37"/>
      <c r="D75" s="38"/>
      <c r="E75" s="37"/>
      <c r="F75" s="38"/>
      <c r="G75" s="166"/>
      <c r="H75" s="167"/>
      <c r="I75" s="167"/>
      <c r="J75" s="167"/>
      <c r="K75" s="167"/>
      <c r="L75" s="167"/>
      <c r="M75" s="167"/>
      <c r="N75" s="167"/>
      <c r="O75" s="167"/>
      <c r="P75" s="168"/>
      <c r="Q75" s="22"/>
    </row>
    <row r="76" spans="1:21" s="23" customFormat="1" ht="17.5" customHeight="1" x14ac:dyDescent="0.45">
      <c r="B76" s="50" t="s">
        <v>3</v>
      </c>
      <c r="C76" s="37"/>
      <c r="D76" s="38"/>
      <c r="E76" s="37"/>
      <c r="F76" s="38"/>
      <c r="G76" s="166"/>
      <c r="H76" s="167"/>
      <c r="I76" s="167"/>
      <c r="J76" s="167"/>
      <c r="K76" s="167"/>
      <c r="L76" s="167"/>
      <c r="M76" s="167"/>
      <c r="N76" s="167"/>
      <c r="O76" s="167"/>
      <c r="P76" s="168"/>
      <c r="Q76" s="22"/>
    </row>
    <row r="77" spans="1:21" s="23" customFormat="1" ht="17.5" customHeight="1" x14ac:dyDescent="0.45">
      <c r="B77" s="50" t="s">
        <v>4</v>
      </c>
      <c r="C77" s="37"/>
      <c r="D77" s="38"/>
      <c r="E77" s="37"/>
      <c r="F77" s="38"/>
      <c r="G77" s="166"/>
      <c r="H77" s="167"/>
      <c r="I77" s="167"/>
      <c r="J77" s="167"/>
      <c r="K77" s="167"/>
      <c r="L77" s="167"/>
      <c r="M77" s="167"/>
      <c r="N77" s="167"/>
      <c r="O77" s="167"/>
      <c r="P77" s="168"/>
      <c r="Q77" s="22"/>
    </row>
    <row r="78" spans="1:21" s="23" customFormat="1" ht="17.5" customHeight="1" x14ac:dyDescent="0.45">
      <c r="B78" s="50" t="s">
        <v>2</v>
      </c>
      <c r="C78" s="37"/>
      <c r="D78" s="38"/>
      <c r="E78" s="37"/>
      <c r="F78" s="38"/>
      <c r="G78" s="166"/>
      <c r="H78" s="167"/>
      <c r="I78" s="167"/>
      <c r="J78" s="167"/>
      <c r="K78" s="167"/>
      <c r="L78" s="167"/>
      <c r="M78" s="167"/>
      <c r="N78" s="167"/>
      <c r="O78" s="167"/>
      <c r="P78" s="168"/>
      <c r="Q78" s="22"/>
    </row>
    <row r="79" spans="1:21" s="23" customFormat="1" ht="17.5" customHeight="1" x14ac:dyDescent="0.45">
      <c r="B79" s="50"/>
      <c r="C79" s="37"/>
      <c r="D79" s="38"/>
      <c r="E79" s="37"/>
      <c r="F79" s="38"/>
      <c r="G79" s="166"/>
      <c r="H79" s="167"/>
      <c r="I79" s="167"/>
      <c r="J79" s="167"/>
      <c r="K79" s="167"/>
      <c r="L79" s="167"/>
      <c r="M79" s="167"/>
      <c r="N79" s="167"/>
      <c r="O79" s="167"/>
      <c r="P79" s="168"/>
      <c r="Q79" s="22"/>
    </row>
    <row r="80" spans="1:21" s="23" customFormat="1" ht="17.5" customHeight="1" x14ac:dyDescent="0.45">
      <c r="B80" s="50" t="s">
        <v>6</v>
      </c>
      <c r="C80" s="37"/>
      <c r="D80" s="38"/>
      <c r="E80" s="37"/>
      <c r="F80" s="38"/>
      <c r="G80" s="166"/>
      <c r="H80" s="167"/>
      <c r="I80" s="167"/>
      <c r="J80" s="167"/>
      <c r="K80" s="167"/>
      <c r="L80" s="167"/>
      <c r="M80" s="167"/>
      <c r="N80" s="167"/>
      <c r="O80" s="167"/>
      <c r="P80" s="168"/>
      <c r="Q80" s="22"/>
    </row>
    <row r="81" spans="1:17" s="23" customFormat="1" ht="17.5" customHeight="1" x14ac:dyDescent="0.45">
      <c r="B81" s="50"/>
      <c r="C81" s="37"/>
      <c r="D81" s="38"/>
      <c r="E81" s="37"/>
      <c r="F81" s="38"/>
      <c r="G81" s="166"/>
      <c r="H81" s="167"/>
      <c r="I81" s="167"/>
      <c r="J81" s="167"/>
      <c r="K81" s="167"/>
      <c r="L81" s="167"/>
      <c r="M81" s="167"/>
      <c r="N81" s="167"/>
      <c r="O81" s="167"/>
      <c r="P81" s="168"/>
      <c r="Q81" s="22"/>
    </row>
    <row r="82" spans="1:17" s="23" customFormat="1" ht="17.5" customHeight="1" x14ac:dyDescent="0.35">
      <c r="B82" s="48"/>
      <c r="C82" s="37"/>
      <c r="D82" s="38"/>
      <c r="E82" s="37"/>
      <c r="F82" s="38"/>
      <c r="G82" s="166"/>
      <c r="H82" s="167"/>
      <c r="I82" s="167"/>
      <c r="J82" s="167"/>
      <c r="K82" s="167"/>
      <c r="L82" s="167"/>
      <c r="M82" s="167"/>
      <c r="N82" s="167"/>
      <c r="O82" s="167"/>
      <c r="P82" s="168"/>
      <c r="Q82" s="22"/>
    </row>
    <row r="83" spans="1:17" s="23" customFormat="1" ht="17.5" customHeight="1" x14ac:dyDescent="0.35">
      <c r="B83" s="48"/>
      <c r="C83" s="37"/>
      <c r="D83" s="38"/>
      <c r="E83" s="37"/>
      <c r="F83" s="38"/>
      <c r="G83" s="166"/>
      <c r="H83" s="167"/>
      <c r="I83" s="167"/>
      <c r="J83" s="167"/>
      <c r="K83" s="167"/>
      <c r="L83" s="167"/>
      <c r="M83" s="167"/>
      <c r="N83" s="167"/>
      <c r="O83" s="167"/>
      <c r="P83" s="168"/>
      <c r="Q83" s="22"/>
    </row>
    <row r="84" spans="1:17" s="23" customFormat="1" ht="17.5" customHeight="1" x14ac:dyDescent="0.35">
      <c r="B84" s="48"/>
      <c r="C84" s="37"/>
      <c r="D84" s="38"/>
      <c r="E84" s="37"/>
      <c r="F84" s="38"/>
      <c r="G84" s="166"/>
      <c r="H84" s="167"/>
      <c r="I84" s="167"/>
      <c r="J84" s="167"/>
      <c r="K84" s="167"/>
      <c r="L84" s="167"/>
      <c r="M84" s="167"/>
      <c r="N84" s="167"/>
      <c r="O84" s="167"/>
      <c r="P84" s="168"/>
      <c r="Q84" s="22"/>
    </row>
    <row r="85" spans="1:17" s="23" customFormat="1" ht="17.5" customHeight="1" x14ac:dyDescent="0.35">
      <c r="B85" s="49"/>
      <c r="C85" s="40" t="s">
        <v>5</v>
      </c>
      <c r="D85" s="41"/>
      <c r="E85" s="40" t="s">
        <v>5</v>
      </c>
      <c r="F85" s="41"/>
      <c r="G85" s="169"/>
      <c r="H85" s="170"/>
      <c r="I85" s="170"/>
      <c r="J85" s="170"/>
      <c r="K85" s="170"/>
      <c r="L85" s="170"/>
      <c r="M85" s="170"/>
      <c r="N85" s="170"/>
      <c r="O85" s="170"/>
      <c r="P85" s="171"/>
      <c r="Q85" s="22"/>
    </row>
    <row r="86" spans="1:17" ht="22.75" customHeight="1" x14ac:dyDescent="0.3">
      <c r="B86" s="174" t="s">
        <v>27</v>
      </c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</row>
    <row r="87" spans="1:17" ht="22.75" customHeight="1" x14ac:dyDescent="0.3">
      <c r="A87" s="2"/>
      <c r="B87" s="158" t="s">
        <v>28</v>
      </c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</row>
    <row r="88" spans="1:17" x14ac:dyDescent="0.3">
      <c r="A88" s="2"/>
    </row>
    <row r="89" spans="1:17" x14ac:dyDescent="0.3">
      <c r="A89" s="2"/>
    </row>
    <row r="90" spans="1:17" ht="21" customHeight="1" x14ac:dyDescent="0.3">
      <c r="A90" s="2"/>
      <c r="E90" s="5"/>
      <c r="F90" s="17"/>
      <c r="G90" s="4"/>
      <c r="H90" s="18"/>
      <c r="I90" s="3"/>
      <c r="J90" s="19"/>
    </row>
    <row r="91" spans="1:17" ht="19.5" customHeight="1" x14ac:dyDescent="0.3">
      <c r="A91" s="2"/>
    </row>
    <row r="92" spans="1:17" ht="15" x14ac:dyDescent="0.3">
      <c r="A92"/>
    </row>
    <row r="93" spans="1:17" x14ac:dyDescent="0.3">
      <c r="A93" s="2"/>
    </row>
    <row r="94" spans="1:17" x14ac:dyDescent="0.3">
      <c r="A94" s="2"/>
    </row>
    <row r="95" spans="1:17" x14ac:dyDescent="0.3">
      <c r="A95" s="2"/>
    </row>
    <row r="96" spans="1:17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ht="15" x14ac:dyDescent="0.3">
      <c r="A105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ht="15" x14ac:dyDescent="0.3">
      <c r="A118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ht="15" x14ac:dyDescent="0.3">
      <c r="A131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4" spans="1:1" ht="15" x14ac:dyDescent="0.3">
      <c r="A144"/>
    </row>
    <row r="145" spans="1:1" x14ac:dyDescent="0.3">
      <c r="A145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x14ac:dyDescent="0.3">
      <c r="A150" s="2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ht="15" x14ac:dyDescent="0.3">
      <c r="A163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x14ac:dyDescent="0.3">
      <c r="A174" s="2"/>
    </row>
    <row r="175" spans="1:1" x14ac:dyDescent="0.3">
      <c r="A175" s="2"/>
    </row>
    <row r="176" spans="1:1" ht="15" x14ac:dyDescent="0.3">
      <c r="A176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ht="15" x14ac:dyDescent="0.3">
      <c r="A189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ht="15" x14ac:dyDescent="0.3">
      <c r="A20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x14ac:dyDescent="0.3">
      <c r="A213" s="2"/>
    </row>
    <row r="214" spans="1:1" x14ac:dyDescent="0.3">
      <c r="A214" s="2"/>
    </row>
    <row r="215" spans="1:1" ht="15" x14ac:dyDescent="0.3">
      <c r="A215"/>
    </row>
    <row r="216" spans="1:1" x14ac:dyDescent="0.3">
      <c r="A216" s="2"/>
    </row>
    <row r="217" spans="1:1" x14ac:dyDescent="0.3">
      <c r="A217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x14ac:dyDescent="0.3">
      <c r="A225" s="2"/>
    </row>
    <row r="226" spans="1:1" x14ac:dyDescent="0.3">
      <c r="A226" s="2"/>
    </row>
    <row r="227" spans="1:1" x14ac:dyDescent="0.3">
      <c r="A227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ht="15" x14ac:dyDescent="0.3">
      <c r="A238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ht="15" x14ac:dyDescent="0.3">
      <c r="A251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ht="15" x14ac:dyDescent="0.3">
      <c r="A264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  <row r="269" spans="1:1" x14ac:dyDescent="0.3">
      <c r="A269" s="2"/>
    </row>
    <row r="270" spans="1:1" x14ac:dyDescent="0.3">
      <c r="A270" s="2"/>
    </row>
    <row r="271" spans="1:1" x14ac:dyDescent="0.3">
      <c r="A271" s="2"/>
    </row>
    <row r="272" spans="1:1" x14ac:dyDescent="0.3">
      <c r="A272" s="2"/>
    </row>
    <row r="273" spans="1:1" x14ac:dyDescent="0.3">
      <c r="A273" s="2"/>
    </row>
    <row r="274" spans="1:1" x14ac:dyDescent="0.3">
      <c r="A274" s="2"/>
    </row>
    <row r="275" spans="1:1" x14ac:dyDescent="0.3">
      <c r="A275" s="2"/>
    </row>
    <row r="276" spans="1:1" x14ac:dyDescent="0.3">
      <c r="A276" s="2"/>
    </row>
    <row r="277" spans="1:1" ht="15" x14ac:dyDescent="0.3">
      <c r="A277"/>
    </row>
    <row r="278" spans="1:1" x14ac:dyDescent="0.3">
      <c r="A278" s="2"/>
    </row>
    <row r="279" spans="1:1" x14ac:dyDescent="0.3">
      <c r="A279" s="2"/>
    </row>
    <row r="280" spans="1:1" x14ac:dyDescent="0.3">
      <c r="A280" s="2"/>
    </row>
    <row r="281" spans="1:1" x14ac:dyDescent="0.3">
      <c r="A281" s="2"/>
    </row>
    <row r="282" spans="1:1" x14ac:dyDescent="0.3">
      <c r="A282" s="2"/>
    </row>
    <row r="283" spans="1:1" x14ac:dyDescent="0.3">
      <c r="A283" s="2"/>
    </row>
    <row r="284" spans="1:1" x14ac:dyDescent="0.3">
      <c r="A284" s="2"/>
    </row>
    <row r="285" spans="1:1" x14ac:dyDescent="0.3">
      <c r="A285" s="2"/>
    </row>
    <row r="286" spans="1:1" x14ac:dyDescent="0.3">
      <c r="A286" s="2"/>
    </row>
    <row r="287" spans="1:1" x14ac:dyDescent="0.3">
      <c r="A287" s="2"/>
    </row>
    <row r="288" spans="1:1" x14ac:dyDescent="0.3">
      <c r="A288" s="2"/>
    </row>
    <row r="289" spans="1:1" x14ac:dyDescent="0.3">
      <c r="A289" s="2"/>
    </row>
    <row r="290" spans="1:1" ht="15" x14ac:dyDescent="0.3">
      <c r="A290"/>
    </row>
    <row r="291" spans="1:1" x14ac:dyDescent="0.3">
      <c r="A291" s="2"/>
    </row>
    <row r="292" spans="1:1" x14ac:dyDescent="0.3">
      <c r="A292" s="2"/>
    </row>
    <row r="293" spans="1:1" x14ac:dyDescent="0.3">
      <c r="A293" s="2"/>
    </row>
    <row r="294" spans="1:1" x14ac:dyDescent="0.3">
      <c r="A294" s="2"/>
    </row>
    <row r="295" spans="1:1" x14ac:dyDescent="0.3">
      <c r="A295" s="2"/>
    </row>
    <row r="296" spans="1:1" x14ac:dyDescent="0.3">
      <c r="A296" s="2"/>
    </row>
    <row r="297" spans="1:1" x14ac:dyDescent="0.3">
      <c r="A297" s="2"/>
    </row>
    <row r="298" spans="1:1" x14ac:dyDescent="0.3">
      <c r="A298" s="2"/>
    </row>
    <row r="299" spans="1:1" x14ac:dyDescent="0.3">
      <c r="A299" s="2"/>
    </row>
    <row r="300" spans="1:1" x14ac:dyDescent="0.3">
      <c r="A300" s="2"/>
    </row>
    <row r="301" spans="1:1" x14ac:dyDescent="0.3">
      <c r="A301" s="2"/>
    </row>
    <row r="302" spans="1:1" x14ac:dyDescent="0.3">
      <c r="A302" s="2"/>
    </row>
  </sheetData>
  <mergeCells count="7">
    <mergeCell ref="CB6:CC6"/>
    <mergeCell ref="G74:P85"/>
    <mergeCell ref="B87:P87"/>
    <mergeCell ref="B86:P86"/>
    <mergeCell ref="B4:C5"/>
    <mergeCell ref="BK4:BN5"/>
    <mergeCell ref="G6:H6"/>
  </mergeCells>
  <printOptions horizontalCentered="1" verticalCentered="1"/>
  <pageMargins left="0.2" right="0.2" top="0.25" bottom="0.25" header="0" footer="0"/>
  <pageSetup scale="34" orientation="landscape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0" tint="-0.249977111117893"/>
    <pageSetUpPr fitToPage="1"/>
  </sheetPr>
  <dimension ref="A1:CJ302"/>
  <sheetViews>
    <sheetView showGridLines="0" zoomScale="50" zoomScaleNormal="50" workbookViewId="0">
      <selection activeCell="R18" sqref="R18"/>
    </sheetView>
  </sheetViews>
  <sheetFormatPr defaultColWidth="6.69140625" defaultRowHeight="14" x14ac:dyDescent="0.3"/>
  <cols>
    <col min="1" max="1" width="5.53515625" style="1" customWidth="1"/>
    <col min="2" max="2" width="18.07421875" style="1" bestFit="1" customWidth="1"/>
    <col min="3" max="3" width="24.23046875" style="1" customWidth="1"/>
    <col min="4" max="4" width="7.4609375" style="14" customWidth="1"/>
    <col min="5" max="5" width="24.23046875" style="1" customWidth="1"/>
    <col min="6" max="6" width="7.4609375" style="14" customWidth="1"/>
    <col min="7" max="7" width="24.23046875" style="1" customWidth="1"/>
    <col min="8" max="8" width="7.4609375" style="14" customWidth="1"/>
    <col min="9" max="9" width="24.23046875" style="1" customWidth="1"/>
    <col min="10" max="10" width="7.4609375" style="14" customWidth="1"/>
    <col min="11" max="11" width="24.23046875" style="1" customWidth="1"/>
    <col min="12" max="12" width="7.4609375" style="14" customWidth="1"/>
    <col min="13" max="13" width="24.23046875" style="1" customWidth="1"/>
    <col min="14" max="14" width="7.4609375" style="14" customWidth="1"/>
    <col min="15" max="15" width="24.23046875" style="1" customWidth="1"/>
    <col min="16" max="16" width="7.4609375" style="14" customWidth="1"/>
    <col min="17" max="17" width="13.3046875" style="1" customWidth="1"/>
    <col min="18" max="18" width="31.3046875" style="1" customWidth="1"/>
    <col min="19" max="19" width="11.84375" style="1" customWidth="1"/>
    <col min="20" max="20" width="11.3046875" style="1" customWidth="1"/>
    <col min="21" max="16384" width="6.69140625" style="1"/>
  </cols>
  <sheetData>
    <row r="1" spans="1:88" ht="49.75" customHeight="1" x14ac:dyDescent="0.3">
      <c r="R1" s="46"/>
      <c r="S1" s="46"/>
    </row>
    <row r="2" spans="1:88" ht="13.75" customHeight="1" x14ac:dyDescent="0.3">
      <c r="R2" s="46"/>
      <c r="S2" s="46"/>
    </row>
    <row r="3" spans="1:88" ht="19.399999999999999" customHeight="1" x14ac:dyDescent="0.3">
      <c r="B3" s="9"/>
      <c r="R3" s="46"/>
      <c r="S3" s="46"/>
      <c r="BB3" s="9"/>
      <c r="BC3" s="9"/>
      <c r="BD3" s="9"/>
    </row>
    <row r="4" spans="1:88" ht="43.75" customHeight="1" x14ac:dyDescent="0.65">
      <c r="B4" s="172"/>
      <c r="C4" s="172"/>
      <c r="R4" s="46"/>
      <c r="S4" s="46"/>
      <c r="BB4" s="9"/>
      <c r="BC4" s="9"/>
      <c r="BD4" s="9"/>
      <c r="BK4" s="160"/>
      <c r="BL4" s="160"/>
      <c r="BM4" s="160"/>
      <c r="BN4" s="160"/>
      <c r="CG4" s="11"/>
      <c r="CH4" s="13"/>
      <c r="CI4" s="11"/>
    </row>
    <row r="5" spans="1:88" ht="30" customHeight="1" x14ac:dyDescent="0.65">
      <c r="B5" s="172"/>
      <c r="C5" s="172"/>
      <c r="D5" s="15"/>
      <c r="F5" s="15"/>
      <c r="H5" s="15"/>
      <c r="I5" s="9"/>
      <c r="J5" s="15"/>
      <c r="K5" s="9"/>
      <c r="L5" s="15"/>
      <c r="M5" s="9"/>
      <c r="N5" s="15"/>
      <c r="O5" s="9"/>
      <c r="P5" s="15"/>
      <c r="R5" s="44"/>
      <c r="S5" s="44"/>
      <c r="BB5" s="9"/>
      <c r="BC5" s="9"/>
      <c r="BD5" s="9"/>
      <c r="BH5" s="9"/>
      <c r="BI5" s="9"/>
      <c r="BJ5" s="9"/>
      <c r="BK5" s="160"/>
      <c r="BL5" s="160"/>
      <c r="BM5" s="160"/>
      <c r="BN5" s="160"/>
      <c r="BO5" s="9"/>
      <c r="BP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12"/>
      <c r="CH5" s="12"/>
      <c r="CI5" s="12"/>
      <c r="CJ5" s="9"/>
    </row>
    <row r="6" spans="1:88" ht="48.65" customHeight="1" x14ac:dyDescent="0.65">
      <c r="F6" s="16"/>
      <c r="G6" s="173" t="s">
        <v>16</v>
      </c>
      <c r="H6" s="173"/>
      <c r="I6" s="59" t="str">
        <f>UPPER(TEXT(DATE(CalendarYear,1,1)," yyyy"))</f>
        <v xml:space="preserve"> 2021</v>
      </c>
      <c r="J6" s="16"/>
      <c r="K6" s="7"/>
      <c r="L6" s="16"/>
      <c r="N6" s="16"/>
      <c r="R6" s="43"/>
      <c r="S6" s="43"/>
      <c r="BO6" s="7"/>
      <c r="BP6" s="8"/>
      <c r="BR6" s="7"/>
      <c r="BS6" s="8"/>
      <c r="BT6" s="7"/>
      <c r="BU6" s="7"/>
      <c r="BV6" s="8"/>
      <c r="BW6" s="7"/>
      <c r="BX6" s="7"/>
      <c r="BY6" s="8"/>
      <c r="CA6" s="7"/>
      <c r="CB6" s="161"/>
      <c r="CC6" s="161"/>
      <c r="CD6" s="10"/>
      <c r="CE6" s="8"/>
      <c r="CG6" s="11"/>
      <c r="CH6" s="11"/>
      <c r="CI6" s="11"/>
    </row>
    <row r="7" spans="1:88" customFormat="1" ht="26.25" customHeight="1" x14ac:dyDescent="0.3">
      <c r="A7" s="1"/>
      <c r="B7" s="20"/>
      <c r="C7" s="60" t="s">
        <v>7</v>
      </c>
      <c r="D7" s="60"/>
      <c r="E7" s="60" t="s">
        <v>8</v>
      </c>
      <c r="F7" s="60"/>
      <c r="G7" s="60" t="s">
        <v>9</v>
      </c>
      <c r="H7" s="60"/>
      <c r="I7" s="60" t="s">
        <v>10</v>
      </c>
      <c r="J7" s="60"/>
      <c r="K7" s="60" t="s">
        <v>11</v>
      </c>
      <c r="L7" s="60"/>
      <c r="M7" s="60" t="s">
        <v>12</v>
      </c>
      <c r="N7" s="60"/>
      <c r="O7" s="60" t="s">
        <v>13</v>
      </c>
      <c r="P7" s="45"/>
      <c r="Q7" s="1"/>
      <c r="S7" s="1"/>
      <c r="T7" s="6"/>
      <c r="X7" s="1"/>
      <c r="Y7" s="1"/>
    </row>
    <row r="8" spans="1:88" s="51" customFormat="1" ht="18" customHeight="1" x14ac:dyDescent="0.3">
      <c r="B8" s="52"/>
      <c r="C8" s="55">
        <f>IF(DAY(MarSun1)=1,"",IF(AND(YEAR(MarSun1+1)=CalendarYear,MONTH(MarSun1+1)=3),MarSun1+1,""))</f>
        <v>44256</v>
      </c>
      <c r="D8" s="61" t="s">
        <v>29</v>
      </c>
      <c r="E8" s="55">
        <f>IF(DAY(MarSun1)=1,"",IF(AND(YEAR(MarSun1+2)=CalendarYear,MONTH(MarSun1+2)=3),MarSun1+2,""))</f>
        <v>44257</v>
      </c>
      <c r="F8" s="61" t="s">
        <v>29</v>
      </c>
      <c r="G8" s="56">
        <f>IF(DAY(MarSun1)=1,"",IF(AND(YEAR(MarSun1+3)=CalendarYear,MONTH(MarSun1+3)=3),MarSun1+3,""))</f>
        <v>44258</v>
      </c>
      <c r="H8" s="61" t="s">
        <v>29</v>
      </c>
      <c r="I8" s="56">
        <f>IF(DAY(MarSun1)=1,"",IF(AND(YEAR(MarSun1+4)=CalendarYear,MONTH(MarSun1+4)=3),MarSun1+4,""))</f>
        <v>44259</v>
      </c>
      <c r="J8" s="61" t="s">
        <v>29</v>
      </c>
      <c r="K8" s="56">
        <f>IF(DAY(MarSun1)=1,"",IF(AND(YEAR(MarSun1+5)=CalendarYear,MONTH(MarSun1+5)=3),MarSun1+5,""))</f>
        <v>44260</v>
      </c>
      <c r="L8" s="61" t="s">
        <v>29</v>
      </c>
      <c r="M8" s="56">
        <f>IF(DAY(MarSun1)=1,"",IF(AND(YEAR(MarSun1+6)=CalendarYear,MONTH(MarSun1+6)=3),MarSun1+6,""))</f>
        <v>44261</v>
      </c>
      <c r="N8" s="61" t="s">
        <v>29</v>
      </c>
      <c r="O8" s="56">
        <f>IF(DAY(MarSun1)=1,IF(AND(YEAR(MarSun1)=CalendarYear,MONTH(MarSun1)=3),MarSun1,""),IF(AND(YEAR(MarSun1+7)=CalendarYear,MONTH(MarSun1+7)=3),MarSun1+7,""))</f>
        <v>44262</v>
      </c>
      <c r="P8" s="61" t="s">
        <v>29</v>
      </c>
      <c r="Q8" s="47"/>
      <c r="T8" s="53"/>
      <c r="U8" s="54"/>
    </row>
    <row r="9" spans="1:88" s="23" customFormat="1" ht="17.5" customHeight="1" x14ac:dyDescent="0.45">
      <c r="B9" s="50" t="s">
        <v>1</v>
      </c>
      <c r="C9" s="25"/>
      <c r="D9" s="26"/>
      <c r="E9" s="25"/>
      <c r="F9" s="26"/>
      <c r="G9" s="27"/>
      <c r="H9" s="26"/>
      <c r="I9" s="27"/>
      <c r="J9" s="26"/>
      <c r="K9" s="27"/>
      <c r="L9" s="26"/>
      <c r="M9" s="27"/>
      <c r="N9" s="26"/>
      <c r="O9" s="27"/>
      <c r="P9" s="26"/>
      <c r="Q9" s="22"/>
    </row>
    <row r="10" spans="1:88" s="23" customFormat="1" ht="17.5" customHeight="1" x14ac:dyDescent="0.45">
      <c r="B10" s="50" t="s">
        <v>2</v>
      </c>
      <c r="C10" s="28"/>
      <c r="D10" s="29"/>
      <c r="E10" s="28"/>
      <c r="F10" s="29"/>
      <c r="G10" s="30"/>
      <c r="H10" s="29"/>
      <c r="I10" s="30"/>
      <c r="J10" s="29"/>
      <c r="K10" s="30"/>
      <c r="L10" s="29"/>
      <c r="M10" s="30"/>
      <c r="N10" s="29"/>
      <c r="O10" s="30"/>
      <c r="P10" s="29"/>
      <c r="Q10" s="22"/>
    </row>
    <row r="11" spans="1:88" s="23" customFormat="1" ht="17.5" customHeight="1" x14ac:dyDescent="0.45">
      <c r="B11" s="50" t="s">
        <v>3</v>
      </c>
      <c r="C11" s="28"/>
      <c r="D11" s="29"/>
      <c r="E11" s="28"/>
      <c r="F11" s="29"/>
      <c r="G11" s="30"/>
      <c r="H11" s="29"/>
      <c r="I11" s="30"/>
      <c r="J11" s="29"/>
      <c r="K11" s="30"/>
      <c r="L11" s="29"/>
      <c r="M11" s="30"/>
      <c r="N11" s="29"/>
      <c r="O11" s="30"/>
      <c r="P11" s="29"/>
      <c r="Q11" s="22"/>
    </row>
    <row r="12" spans="1:88" s="23" customFormat="1" ht="17.5" customHeight="1" x14ac:dyDescent="0.45">
      <c r="B12" s="50" t="s">
        <v>4</v>
      </c>
      <c r="C12" s="28"/>
      <c r="D12" s="29"/>
      <c r="E12" s="28"/>
      <c r="F12" s="29"/>
      <c r="G12" s="30"/>
      <c r="H12" s="29"/>
      <c r="I12" s="30"/>
      <c r="J12" s="29"/>
      <c r="K12" s="30"/>
      <c r="L12" s="29"/>
      <c r="M12" s="30"/>
      <c r="N12" s="29"/>
      <c r="O12" s="30"/>
      <c r="P12" s="29"/>
      <c r="Q12" s="22"/>
    </row>
    <row r="13" spans="1:88" s="23" customFormat="1" ht="17.5" customHeight="1" x14ac:dyDescent="0.45">
      <c r="B13" s="50" t="s">
        <v>2</v>
      </c>
      <c r="C13" s="28"/>
      <c r="D13" s="29"/>
      <c r="E13" s="28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22"/>
    </row>
    <row r="14" spans="1:88" s="23" customFormat="1" ht="17.5" customHeight="1" x14ac:dyDescent="0.45">
      <c r="B14" s="50"/>
      <c r="C14" s="28"/>
      <c r="D14" s="29"/>
      <c r="E14" s="28"/>
      <c r="F14" s="29"/>
      <c r="G14" s="30"/>
      <c r="H14" s="29"/>
      <c r="I14" s="30"/>
      <c r="J14" s="29"/>
      <c r="K14" s="30"/>
      <c r="L14" s="29"/>
      <c r="M14" s="30"/>
      <c r="N14" s="29"/>
      <c r="O14" s="30"/>
      <c r="P14" s="29"/>
      <c r="Q14" s="22"/>
    </row>
    <row r="15" spans="1:88" s="23" customFormat="1" ht="17.5" customHeight="1" x14ac:dyDescent="0.45">
      <c r="B15" s="50" t="s">
        <v>6</v>
      </c>
      <c r="C15" s="28"/>
      <c r="D15" s="29"/>
      <c r="E15" s="28"/>
      <c r="F15" s="29"/>
      <c r="G15" s="30"/>
      <c r="H15" s="29"/>
      <c r="I15" s="30"/>
      <c r="J15" s="29"/>
      <c r="K15" s="30"/>
      <c r="L15" s="29"/>
      <c r="M15" s="30"/>
      <c r="N15" s="29"/>
      <c r="O15" s="30"/>
      <c r="P15" s="29"/>
      <c r="Q15" s="22"/>
    </row>
    <row r="16" spans="1:88" s="23" customFormat="1" ht="17.5" customHeight="1" x14ac:dyDescent="0.45">
      <c r="B16" s="50"/>
      <c r="C16" s="28"/>
      <c r="D16" s="29"/>
      <c r="E16" s="28"/>
      <c r="F16" s="29"/>
      <c r="G16" s="30"/>
      <c r="H16" s="29"/>
      <c r="I16" s="30"/>
      <c r="J16" s="29"/>
      <c r="K16" s="30"/>
      <c r="L16" s="29"/>
      <c r="M16" s="30"/>
      <c r="N16" s="29"/>
      <c r="O16" s="30"/>
      <c r="P16" s="29"/>
      <c r="Q16" s="22"/>
    </row>
    <row r="17" spans="2:21" s="23" customFormat="1" ht="17.5" customHeight="1" x14ac:dyDescent="0.35">
      <c r="B17" s="48"/>
      <c r="C17" s="28"/>
      <c r="D17" s="29"/>
      <c r="E17" s="28"/>
      <c r="F17" s="29"/>
      <c r="G17" s="30"/>
      <c r="H17" s="29"/>
      <c r="I17" s="30"/>
      <c r="J17" s="29"/>
      <c r="K17" s="30"/>
      <c r="L17" s="29"/>
      <c r="M17" s="30"/>
      <c r="N17" s="29"/>
      <c r="O17" s="30"/>
      <c r="P17" s="29"/>
      <c r="Q17" s="22"/>
    </row>
    <row r="18" spans="2:21" s="23" customFormat="1" ht="17.5" customHeight="1" x14ac:dyDescent="0.35">
      <c r="B18" s="48"/>
      <c r="C18" s="28"/>
      <c r="D18" s="29"/>
      <c r="E18" s="28"/>
      <c r="F18" s="29"/>
      <c r="G18" s="30"/>
      <c r="H18" s="29"/>
      <c r="I18" s="30"/>
      <c r="J18" s="29"/>
      <c r="K18" s="30"/>
      <c r="L18" s="29"/>
      <c r="M18" s="30"/>
      <c r="N18" s="29"/>
      <c r="O18" s="30"/>
      <c r="P18" s="29"/>
      <c r="Q18" s="22"/>
    </row>
    <row r="19" spans="2:21" s="23" customFormat="1" ht="17.5" customHeight="1" x14ac:dyDescent="0.35">
      <c r="B19" s="48"/>
      <c r="C19" s="28"/>
      <c r="D19" s="29"/>
      <c r="E19" s="28"/>
      <c r="F19" s="29"/>
      <c r="G19" s="30"/>
      <c r="H19" s="29"/>
      <c r="I19" s="30"/>
      <c r="J19" s="29"/>
      <c r="K19" s="30"/>
      <c r="L19" s="29"/>
      <c r="M19" s="30"/>
      <c r="N19" s="29"/>
      <c r="O19" s="30"/>
      <c r="P19" s="29"/>
      <c r="Q19" s="22"/>
    </row>
    <row r="20" spans="2:21" s="23" customFormat="1" ht="17.5" customHeight="1" x14ac:dyDescent="0.35">
      <c r="B20" s="49"/>
      <c r="C20" s="31" t="s">
        <v>5</v>
      </c>
      <c r="D20" s="32"/>
      <c r="E20" s="31" t="s">
        <v>5</v>
      </c>
      <c r="F20" s="32"/>
      <c r="G20" s="33" t="s">
        <v>5</v>
      </c>
      <c r="H20" s="32"/>
      <c r="I20" s="33" t="s">
        <v>5</v>
      </c>
      <c r="J20" s="32"/>
      <c r="K20" s="33" t="s">
        <v>5</v>
      </c>
      <c r="L20" s="32"/>
      <c r="M20" s="33" t="s">
        <v>5</v>
      </c>
      <c r="N20" s="32"/>
      <c r="O20" s="33" t="s">
        <v>5</v>
      </c>
      <c r="P20" s="32"/>
      <c r="Q20" s="22"/>
    </row>
    <row r="21" spans="2:21" s="51" customFormat="1" ht="18" customHeight="1" x14ac:dyDescent="0.3">
      <c r="B21" s="52"/>
      <c r="C21" s="55">
        <f>IF(DAY(MarSun1)=1,IF(AND(YEAR(MarSun1+1)=CalendarYear,MONTH(MarSun1+1)=3),MarSun1+1,""),IF(AND(YEAR(MarSun1+8)=CalendarYear,MONTH(MarSun1+8)=3),MarSun1+8,""))</f>
        <v>44263</v>
      </c>
      <c r="D21" s="61" t="s">
        <v>29</v>
      </c>
      <c r="E21" s="55">
        <f>IF(DAY(MarSun1)=1,IF(AND(YEAR(MarSun1+2)=CalendarYear,MONTH(MarSun1+2)=3),MarSun1+2,""),IF(AND(YEAR(MarSun1+9)=CalendarYear,MONTH(MarSun1+9)=3),MarSun1+9,""))</f>
        <v>44264</v>
      </c>
      <c r="F21" s="61" t="s">
        <v>29</v>
      </c>
      <c r="G21" s="56">
        <f>IF(DAY(MarSun1)=1,IF(AND(YEAR(MarSun1+3)=CalendarYear,MONTH(MarSun1+3)=3),MarSun1+3,""),IF(AND(YEAR(MarSun1+10)=CalendarYear,MONTH(MarSun1+10)=3),MarSun1+10,""))</f>
        <v>44265</v>
      </c>
      <c r="H21" s="61" t="s">
        <v>29</v>
      </c>
      <c r="I21" s="56">
        <f>IF(DAY(MarSun1)=1,IF(AND(YEAR(MarSun1+4)=CalendarYear,MONTH(MarSun1+4)=3),MarSun1+4,""),IF(AND(YEAR(MarSun1+11)=CalendarYear,MONTH(MarSun1+11)=3),MarSun1+11,""))</f>
        <v>44266</v>
      </c>
      <c r="J21" s="61" t="s">
        <v>29</v>
      </c>
      <c r="K21" s="56">
        <f>IF(DAY(MarSun1)=1,IF(AND(YEAR(MarSun1+5)=CalendarYear,MONTH(MarSun1+5)=3),MarSun1+5,""),IF(AND(YEAR(MarSun1+12)=CalendarYear,MONTH(MarSun1+12)=3),MarSun1+12,""))</f>
        <v>44267</v>
      </c>
      <c r="L21" s="61" t="s">
        <v>29</v>
      </c>
      <c r="M21" s="56">
        <f>IF(DAY(MarSun1)=1,IF(AND(YEAR(MarSun1+6)=CalendarYear,MONTH(MarSun1+6)=3),MarSun1+6,""),IF(AND(YEAR(MarSun1+13)=CalendarYear,MONTH(MarSun1+13)=3),MarSun1+13,""))</f>
        <v>44268</v>
      </c>
      <c r="N21" s="61" t="s">
        <v>29</v>
      </c>
      <c r="O21" s="56">
        <f>IF(DAY(MarSun1)=1,IF(AND(YEAR(MarSun1+7)=CalendarYear,MONTH(MarSun1+7)=3),MarSun1+7,""),IF(AND(YEAR(MarSun1+14)=CalendarYear,MONTH(MarSun1+14)=3),MarSun1+14,""))</f>
        <v>44269</v>
      </c>
      <c r="P21" s="61" t="s">
        <v>29</v>
      </c>
      <c r="Q21" s="47"/>
      <c r="T21" s="53"/>
      <c r="U21" s="54"/>
    </row>
    <row r="22" spans="2:21" s="23" customFormat="1" ht="17.5" customHeight="1" x14ac:dyDescent="0.45">
      <c r="B22" s="50" t="s">
        <v>1</v>
      </c>
      <c r="C22" s="34"/>
      <c r="D22" s="35"/>
      <c r="E22" s="34"/>
      <c r="F22" s="35"/>
      <c r="G22" s="36"/>
      <c r="H22" s="35"/>
      <c r="I22" s="36"/>
      <c r="J22" s="35"/>
      <c r="K22" s="36"/>
      <c r="L22" s="35"/>
      <c r="M22" s="36"/>
      <c r="N22" s="35"/>
      <c r="O22" s="36"/>
      <c r="P22" s="35"/>
      <c r="Q22" s="22"/>
    </row>
    <row r="23" spans="2:21" s="23" customFormat="1" ht="17.5" customHeight="1" x14ac:dyDescent="0.45">
      <c r="B23" s="50" t="s">
        <v>2</v>
      </c>
      <c r="C23" s="37"/>
      <c r="D23" s="38"/>
      <c r="E23" s="37"/>
      <c r="F23" s="38"/>
      <c r="G23" s="39"/>
      <c r="H23" s="38"/>
      <c r="I23" s="39"/>
      <c r="J23" s="38"/>
      <c r="K23" s="39"/>
      <c r="L23" s="38"/>
      <c r="M23" s="39"/>
      <c r="N23" s="38"/>
      <c r="O23" s="39"/>
      <c r="P23" s="38"/>
      <c r="Q23" s="22"/>
    </row>
    <row r="24" spans="2:21" s="23" customFormat="1" ht="17.5" customHeight="1" x14ac:dyDescent="0.45">
      <c r="B24" s="50" t="s">
        <v>3</v>
      </c>
      <c r="C24" s="37"/>
      <c r="D24" s="38"/>
      <c r="E24" s="37"/>
      <c r="F24" s="38"/>
      <c r="G24" s="39"/>
      <c r="H24" s="38"/>
      <c r="I24" s="39"/>
      <c r="J24" s="38"/>
      <c r="K24" s="39"/>
      <c r="L24" s="38"/>
      <c r="M24" s="39"/>
      <c r="N24" s="38"/>
      <c r="O24" s="39"/>
      <c r="P24" s="38"/>
      <c r="Q24" s="22"/>
    </row>
    <row r="25" spans="2:21" s="23" customFormat="1" ht="17.5" customHeight="1" x14ac:dyDescent="0.45">
      <c r="B25" s="50" t="s">
        <v>4</v>
      </c>
      <c r="C25" s="37"/>
      <c r="D25" s="38"/>
      <c r="E25" s="37"/>
      <c r="F25" s="38"/>
      <c r="G25" s="39"/>
      <c r="H25" s="38"/>
      <c r="I25" s="39"/>
      <c r="J25" s="38"/>
      <c r="K25" s="39"/>
      <c r="L25" s="38"/>
      <c r="M25" s="39"/>
      <c r="N25" s="38"/>
      <c r="O25" s="39"/>
      <c r="P25" s="38"/>
      <c r="Q25" s="22"/>
    </row>
    <row r="26" spans="2:21" s="23" customFormat="1" ht="17.5" customHeight="1" x14ac:dyDescent="0.45">
      <c r="B26" s="50" t="s">
        <v>2</v>
      </c>
      <c r="C26" s="37"/>
      <c r="D26" s="38"/>
      <c r="E26" s="37"/>
      <c r="F26" s="38"/>
      <c r="G26" s="39"/>
      <c r="H26" s="38"/>
      <c r="I26" s="39"/>
      <c r="J26" s="38"/>
      <c r="K26" s="39"/>
      <c r="L26" s="38"/>
      <c r="M26" s="39"/>
      <c r="N26" s="38"/>
      <c r="O26" s="39"/>
      <c r="P26" s="38"/>
      <c r="Q26" s="22"/>
    </row>
    <row r="27" spans="2:21" s="23" customFormat="1" ht="17.5" customHeight="1" x14ac:dyDescent="0.45">
      <c r="B27" s="50"/>
      <c r="C27" s="37"/>
      <c r="D27" s="38"/>
      <c r="E27" s="37"/>
      <c r="F27" s="38"/>
      <c r="G27" s="39"/>
      <c r="H27" s="38"/>
      <c r="I27" s="39"/>
      <c r="J27" s="38"/>
      <c r="K27" s="39"/>
      <c r="L27" s="38"/>
      <c r="M27" s="39"/>
      <c r="N27" s="38"/>
      <c r="O27" s="39"/>
      <c r="P27" s="38"/>
      <c r="Q27" s="22"/>
    </row>
    <row r="28" spans="2:21" s="23" customFormat="1" ht="17.5" customHeight="1" x14ac:dyDescent="0.45">
      <c r="B28" s="50" t="s">
        <v>6</v>
      </c>
      <c r="C28" s="37"/>
      <c r="D28" s="38"/>
      <c r="E28" s="37"/>
      <c r="F28" s="38"/>
      <c r="G28" s="39"/>
      <c r="H28" s="38"/>
      <c r="I28" s="39"/>
      <c r="J28" s="38"/>
      <c r="K28" s="39"/>
      <c r="L28" s="38"/>
      <c r="M28" s="39"/>
      <c r="N28" s="38"/>
      <c r="O28" s="39"/>
      <c r="P28" s="38"/>
      <c r="Q28" s="22"/>
    </row>
    <row r="29" spans="2:21" s="23" customFormat="1" ht="17.5" customHeight="1" x14ac:dyDescent="0.35">
      <c r="B29" s="48"/>
      <c r="C29" s="37"/>
      <c r="D29" s="38"/>
      <c r="E29" s="37"/>
      <c r="F29" s="38"/>
      <c r="G29" s="39"/>
      <c r="H29" s="38"/>
      <c r="I29" s="39"/>
      <c r="J29" s="38"/>
      <c r="K29" s="39"/>
      <c r="L29" s="38"/>
      <c r="M29" s="39"/>
      <c r="N29" s="38"/>
      <c r="O29" s="39"/>
      <c r="P29" s="38"/>
      <c r="Q29" s="22"/>
    </row>
    <row r="30" spans="2:21" s="23" customFormat="1" ht="17.5" customHeight="1" x14ac:dyDescent="0.35">
      <c r="B30" s="48"/>
      <c r="C30" s="37"/>
      <c r="D30" s="38"/>
      <c r="E30" s="37"/>
      <c r="F30" s="38"/>
      <c r="G30" s="39"/>
      <c r="H30" s="38"/>
      <c r="I30" s="39"/>
      <c r="J30" s="38"/>
      <c r="K30" s="39"/>
      <c r="L30" s="38"/>
      <c r="M30" s="39"/>
      <c r="N30" s="38"/>
      <c r="O30" s="39"/>
      <c r="P30" s="38"/>
      <c r="Q30" s="22"/>
    </row>
    <row r="31" spans="2:21" s="23" customFormat="1" ht="17.5" customHeight="1" x14ac:dyDescent="0.35">
      <c r="B31" s="48"/>
      <c r="C31" s="37"/>
      <c r="D31" s="38"/>
      <c r="E31" s="37"/>
      <c r="F31" s="38"/>
      <c r="G31" s="39"/>
      <c r="H31" s="38"/>
      <c r="I31" s="39"/>
      <c r="J31" s="38"/>
      <c r="K31" s="39"/>
      <c r="L31" s="38"/>
      <c r="M31" s="39"/>
      <c r="N31" s="38"/>
      <c r="O31" s="39"/>
      <c r="P31" s="38"/>
      <c r="Q31" s="22"/>
    </row>
    <row r="32" spans="2:21" s="23" customFormat="1" ht="17.5" customHeight="1" x14ac:dyDescent="0.35">
      <c r="B32" s="48"/>
      <c r="C32" s="37"/>
      <c r="D32" s="38"/>
      <c r="E32" s="37"/>
      <c r="F32" s="38"/>
      <c r="G32" s="39"/>
      <c r="H32" s="38"/>
      <c r="I32" s="39"/>
      <c r="J32" s="38"/>
      <c r="K32" s="39"/>
      <c r="L32" s="38"/>
      <c r="M32" s="39"/>
      <c r="N32" s="38"/>
      <c r="O32" s="39"/>
      <c r="P32" s="38"/>
      <c r="Q32" s="22"/>
    </row>
    <row r="33" spans="2:21" s="23" customFormat="1" ht="17.5" customHeight="1" x14ac:dyDescent="0.35">
      <c r="B33" s="49"/>
      <c r="C33" s="40" t="s">
        <v>5</v>
      </c>
      <c r="D33" s="41"/>
      <c r="E33" s="40" t="s">
        <v>5</v>
      </c>
      <c r="F33" s="41"/>
      <c r="G33" s="42" t="s">
        <v>5</v>
      </c>
      <c r="H33" s="41"/>
      <c r="I33" s="42" t="s">
        <v>5</v>
      </c>
      <c r="J33" s="41"/>
      <c r="K33" s="42" t="s">
        <v>5</v>
      </c>
      <c r="L33" s="41"/>
      <c r="M33" s="42" t="s">
        <v>5</v>
      </c>
      <c r="N33" s="41"/>
      <c r="O33" s="42" t="s">
        <v>5</v>
      </c>
      <c r="P33" s="41"/>
      <c r="Q33" s="22"/>
    </row>
    <row r="34" spans="2:21" s="51" customFormat="1" ht="18" customHeight="1" x14ac:dyDescent="0.3">
      <c r="B34" s="52"/>
      <c r="C34" s="55">
        <f>IF(DAY(MarSun1)=1,IF(AND(YEAR(MarSun1+8)=CalendarYear,MONTH(MarSun1+8)=3),MarSun1+8,""),IF(AND(YEAR(MarSun1+15)=CalendarYear,MONTH(MarSun1+15)=3),MarSun1+15,""))</f>
        <v>44270</v>
      </c>
      <c r="D34" s="61" t="s">
        <v>29</v>
      </c>
      <c r="E34" s="55">
        <f>IF(DAY(MarSun1)=1,IF(AND(YEAR(MarSun1+9)=CalendarYear,MONTH(MarSun1+9)=3),MarSun1+9,""),IF(AND(YEAR(MarSun1+16)=CalendarYear,MONTH(MarSun1+16)=3),MarSun1+16,""))</f>
        <v>44271</v>
      </c>
      <c r="F34" s="61" t="s">
        <v>29</v>
      </c>
      <c r="G34" s="56">
        <f>IF(DAY(MarSun1)=1,IF(AND(YEAR(MarSun1+10)=CalendarYear,MONTH(MarSun1+10)=3),MarSun1+10,""),IF(AND(YEAR(MarSun1+17)=CalendarYear,MONTH(MarSun1+17)=3),MarSun1+17,""))</f>
        <v>44272</v>
      </c>
      <c r="H34" s="61" t="s">
        <v>29</v>
      </c>
      <c r="I34" s="56">
        <f>IF(DAY(MarSun1)=1,IF(AND(YEAR(MarSun1+11)=CalendarYear,MONTH(MarSun1+11)=3),MarSun1+11,""),IF(AND(YEAR(MarSun1+18)=CalendarYear,MONTH(MarSun1+18)=3),MarSun1+18,""))</f>
        <v>44273</v>
      </c>
      <c r="J34" s="61" t="s">
        <v>29</v>
      </c>
      <c r="K34" s="56">
        <f>IF(DAY(MarSun1)=1,IF(AND(YEAR(MarSun1+12)=CalendarYear,MONTH(MarSun1+12)=3),MarSun1+12,""),IF(AND(YEAR(MarSun1+19)=CalendarYear,MONTH(MarSun1+19)=3),MarSun1+19,""))</f>
        <v>44274</v>
      </c>
      <c r="L34" s="61" t="s">
        <v>29</v>
      </c>
      <c r="M34" s="56">
        <f>IF(DAY(MarSun1)=1,IF(AND(YEAR(MarSun1+13)=CalendarYear,MONTH(MarSun1+13)=3),MarSun1+13,""),IF(AND(YEAR(MarSun1+20)=CalendarYear,MONTH(MarSun1+20)=3),MarSun1+20,""))</f>
        <v>44275</v>
      </c>
      <c r="N34" s="61" t="s">
        <v>29</v>
      </c>
      <c r="O34" s="56">
        <f>IF(DAY(MarSun1)=1,IF(AND(YEAR(MarSun1+14)=CalendarYear,MONTH(MarSun1+14)=3),MarSun1+14,""),IF(AND(YEAR(MarSun1+21)=CalendarYear,MONTH(MarSun1+21)=3),MarSun1+21,""))</f>
        <v>44276</v>
      </c>
      <c r="P34" s="61" t="s">
        <v>29</v>
      </c>
      <c r="Q34" s="47"/>
      <c r="T34" s="53"/>
      <c r="U34" s="54"/>
    </row>
    <row r="35" spans="2:21" s="23" customFormat="1" ht="17.5" customHeight="1" x14ac:dyDescent="0.45">
      <c r="B35" s="50" t="s">
        <v>1</v>
      </c>
      <c r="C35" s="25"/>
      <c r="D35" s="26"/>
      <c r="E35" s="25"/>
      <c r="F35" s="26"/>
      <c r="G35" s="27"/>
      <c r="H35" s="26"/>
      <c r="I35" s="27"/>
      <c r="J35" s="26"/>
      <c r="K35" s="27"/>
      <c r="L35" s="26"/>
      <c r="M35" s="27"/>
      <c r="N35" s="26"/>
      <c r="O35" s="27"/>
      <c r="P35" s="26"/>
      <c r="Q35" s="22"/>
    </row>
    <row r="36" spans="2:21" s="23" customFormat="1" ht="17.5" customHeight="1" x14ac:dyDescent="0.45">
      <c r="B36" s="50" t="s">
        <v>2</v>
      </c>
      <c r="C36" s="28"/>
      <c r="D36" s="29"/>
      <c r="E36" s="28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22"/>
    </row>
    <row r="37" spans="2:21" s="23" customFormat="1" ht="17.5" customHeight="1" x14ac:dyDescent="0.45">
      <c r="B37" s="50" t="s">
        <v>3</v>
      </c>
      <c r="C37" s="28"/>
      <c r="D37" s="29"/>
      <c r="E37" s="28"/>
      <c r="F37" s="29"/>
      <c r="G37" s="30"/>
      <c r="H37" s="29"/>
      <c r="I37" s="30"/>
      <c r="J37" s="29"/>
      <c r="K37" s="30"/>
      <c r="L37" s="29"/>
      <c r="M37" s="30"/>
      <c r="N37" s="29"/>
      <c r="O37" s="30"/>
      <c r="P37" s="29"/>
      <c r="Q37" s="22"/>
    </row>
    <row r="38" spans="2:21" s="23" customFormat="1" ht="17.5" customHeight="1" x14ac:dyDescent="0.45">
      <c r="B38" s="50" t="s">
        <v>4</v>
      </c>
      <c r="C38" s="28"/>
      <c r="D38" s="29"/>
      <c r="E38" s="28"/>
      <c r="F38" s="29"/>
      <c r="G38" s="30"/>
      <c r="H38" s="29"/>
      <c r="I38" s="30"/>
      <c r="J38" s="29"/>
      <c r="K38" s="30"/>
      <c r="L38" s="29"/>
      <c r="M38" s="30"/>
      <c r="N38" s="29"/>
      <c r="O38" s="30"/>
      <c r="P38" s="29"/>
      <c r="Q38" s="22"/>
    </row>
    <row r="39" spans="2:21" s="23" customFormat="1" ht="17.5" customHeight="1" x14ac:dyDescent="0.45">
      <c r="B39" s="50" t="s">
        <v>2</v>
      </c>
      <c r="C39" s="28"/>
      <c r="D39" s="29"/>
      <c r="E39" s="28"/>
      <c r="F39" s="29"/>
      <c r="G39" s="30"/>
      <c r="H39" s="29"/>
      <c r="I39" s="30"/>
      <c r="J39" s="29"/>
      <c r="K39" s="30"/>
      <c r="L39" s="29"/>
      <c r="M39" s="30"/>
      <c r="N39" s="29"/>
      <c r="O39" s="30"/>
      <c r="P39" s="29"/>
      <c r="Q39" s="22"/>
    </row>
    <row r="40" spans="2:21" s="23" customFormat="1" ht="17.5" customHeight="1" x14ac:dyDescent="0.45">
      <c r="B40" s="50"/>
      <c r="C40" s="28"/>
      <c r="D40" s="29"/>
      <c r="E40" s="28"/>
      <c r="F40" s="29"/>
      <c r="G40" s="30"/>
      <c r="H40" s="29"/>
      <c r="I40" s="30"/>
      <c r="J40" s="29"/>
      <c r="K40" s="30"/>
      <c r="L40" s="29"/>
      <c r="M40" s="30"/>
      <c r="N40" s="29"/>
      <c r="O40" s="30"/>
      <c r="P40" s="29"/>
      <c r="Q40" s="22"/>
    </row>
    <row r="41" spans="2:21" s="23" customFormat="1" ht="17.5" customHeight="1" x14ac:dyDescent="0.45">
      <c r="B41" s="50" t="s">
        <v>6</v>
      </c>
      <c r="C41" s="28"/>
      <c r="D41" s="29"/>
      <c r="E41" s="28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22"/>
    </row>
    <row r="42" spans="2:21" s="23" customFormat="1" ht="17.5" customHeight="1" x14ac:dyDescent="0.35">
      <c r="B42" s="48"/>
      <c r="C42" s="28"/>
      <c r="D42" s="29"/>
      <c r="E42" s="28"/>
      <c r="F42" s="29"/>
      <c r="G42" s="30"/>
      <c r="H42" s="29"/>
      <c r="I42" s="30"/>
      <c r="J42" s="29"/>
      <c r="K42" s="30"/>
      <c r="L42" s="29"/>
      <c r="M42" s="30"/>
      <c r="N42" s="29"/>
      <c r="O42" s="30"/>
      <c r="P42" s="29"/>
      <c r="Q42" s="22"/>
    </row>
    <row r="43" spans="2:21" s="23" customFormat="1" ht="17.5" customHeight="1" x14ac:dyDescent="0.35">
      <c r="B43" s="48"/>
      <c r="C43" s="28"/>
      <c r="D43" s="29"/>
      <c r="E43" s="28"/>
      <c r="F43" s="29"/>
      <c r="G43" s="30"/>
      <c r="H43" s="29"/>
      <c r="I43" s="30"/>
      <c r="J43" s="29"/>
      <c r="K43" s="30"/>
      <c r="L43" s="29"/>
      <c r="M43" s="30"/>
      <c r="N43" s="29"/>
      <c r="O43" s="30"/>
      <c r="P43" s="29"/>
      <c r="Q43" s="22"/>
    </row>
    <row r="44" spans="2:21" s="23" customFormat="1" ht="17.5" customHeight="1" x14ac:dyDescent="0.35">
      <c r="B44" s="48"/>
      <c r="C44" s="28"/>
      <c r="D44" s="29"/>
      <c r="E44" s="28"/>
      <c r="F44" s="29"/>
      <c r="G44" s="30"/>
      <c r="H44" s="29"/>
      <c r="I44" s="30"/>
      <c r="J44" s="29"/>
      <c r="K44" s="30"/>
      <c r="L44" s="29"/>
      <c r="M44" s="30"/>
      <c r="N44" s="29"/>
      <c r="O44" s="30"/>
      <c r="P44" s="29"/>
      <c r="Q44" s="22"/>
    </row>
    <row r="45" spans="2:21" s="23" customFormat="1" ht="17.5" customHeight="1" x14ac:dyDescent="0.35">
      <c r="B45" s="48"/>
      <c r="C45" s="28"/>
      <c r="D45" s="29"/>
      <c r="E45" s="28"/>
      <c r="F45" s="29"/>
      <c r="G45" s="30"/>
      <c r="H45" s="29"/>
      <c r="I45" s="30"/>
      <c r="J45" s="29"/>
      <c r="K45" s="30"/>
      <c r="L45" s="29"/>
      <c r="M45" s="30"/>
      <c r="N45" s="29"/>
      <c r="O45" s="30"/>
      <c r="P45" s="29"/>
      <c r="Q45" s="22"/>
    </row>
    <row r="46" spans="2:21" s="23" customFormat="1" ht="17.5" customHeight="1" x14ac:dyDescent="0.35">
      <c r="B46" s="49"/>
      <c r="C46" s="31" t="s">
        <v>5</v>
      </c>
      <c r="D46" s="32"/>
      <c r="E46" s="31" t="s">
        <v>5</v>
      </c>
      <c r="F46" s="32"/>
      <c r="G46" s="33" t="s">
        <v>5</v>
      </c>
      <c r="H46" s="32"/>
      <c r="I46" s="33" t="s">
        <v>5</v>
      </c>
      <c r="J46" s="32"/>
      <c r="K46" s="33" t="s">
        <v>5</v>
      </c>
      <c r="L46" s="32"/>
      <c r="M46" s="33" t="s">
        <v>5</v>
      </c>
      <c r="N46" s="32"/>
      <c r="O46" s="33" t="s">
        <v>5</v>
      </c>
      <c r="P46" s="32"/>
      <c r="Q46" s="22"/>
    </row>
    <row r="47" spans="2:21" s="51" customFormat="1" ht="18" customHeight="1" x14ac:dyDescent="0.3">
      <c r="B47" s="52"/>
      <c r="C47" s="55">
        <f>IF(DAY(MarSun1)=1,IF(AND(YEAR(MarSun1+15)=CalendarYear,MONTH(MarSun1+15)=3),MarSun1+15,""),IF(AND(YEAR(MarSun1+22)=CalendarYear,MONTH(MarSun1+22)=3),MarSun1+22,""))</f>
        <v>44277</v>
      </c>
      <c r="D47" s="61" t="s">
        <v>29</v>
      </c>
      <c r="E47" s="55">
        <f>IF(DAY(MarSun1)=1,IF(AND(YEAR(MarSun1+16)=CalendarYear,MONTH(MarSun1+16)=3),MarSun1+16,""),IF(AND(YEAR(MarSun1+23)=CalendarYear,MONTH(MarSun1+23)=3),MarSun1+23,""))</f>
        <v>44278</v>
      </c>
      <c r="F47" s="61" t="s">
        <v>29</v>
      </c>
      <c r="G47" s="56">
        <f>IF(DAY(MarSun1)=1,IF(AND(YEAR(MarSun1+17)=CalendarYear,MONTH(MarSun1+17)=3),MarSun1+17,""),IF(AND(YEAR(MarSun1+24)=CalendarYear,MONTH(MarSun1+24)=3),MarSun1+24,""))</f>
        <v>44279</v>
      </c>
      <c r="H47" s="61" t="s">
        <v>29</v>
      </c>
      <c r="I47" s="56">
        <f>IF(DAY(MarSun1)=1,IF(AND(YEAR(MarSun1+18)=CalendarYear,MONTH(MarSun1+18)=3),MarSun1+18,""),IF(AND(YEAR(MarSun1+25)=CalendarYear,MONTH(MarSun1+25)=3),MarSun1+25,""))</f>
        <v>44280</v>
      </c>
      <c r="J47" s="61" t="s">
        <v>29</v>
      </c>
      <c r="K47" s="56">
        <f>IF(DAY(MarSun1)=1,IF(AND(YEAR(MarSun1+19)=CalendarYear,MONTH(MarSun1+19)=3),MarSun1+19,""),IF(AND(YEAR(MarSun1+26)=CalendarYear,MONTH(MarSun1+26)=3),MarSun1+26,""))</f>
        <v>44281</v>
      </c>
      <c r="L47" s="61" t="s">
        <v>29</v>
      </c>
      <c r="M47" s="56">
        <f>IF(DAY(MarSun1)=1,IF(AND(YEAR(MarSun1+20)=CalendarYear,MONTH(MarSun1+20)=3),MarSun1+20,""),IF(AND(YEAR(MarSun1+27)=CalendarYear,MONTH(MarSun1+27)=3),MarSun1+27,""))</f>
        <v>44282</v>
      </c>
      <c r="N47" s="61" t="s">
        <v>29</v>
      </c>
      <c r="O47" s="56">
        <f>IF(DAY(MarSun1)=1,IF(AND(YEAR(MarSun1+21)=CalendarYear,MONTH(MarSun1+21)=3),MarSun1+21,""),IF(AND(YEAR(MarSun1+28)=CalendarYear,MONTH(MarSun1+28)=3),MarSun1+28,""))</f>
        <v>44283</v>
      </c>
      <c r="P47" s="61" t="s">
        <v>29</v>
      </c>
      <c r="Q47" s="47"/>
      <c r="T47" s="53"/>
      <c r="U47" s="54"/>
    </row>
    <row r="48" spans="2:21" s="23" customFormat="1" ht="17.5" customHeight="1" x14ac:dyDescent="0.45">
      <c r="B48" s="50" t="s">
        <v>1</v>
      </c>
      <c r="C48" s="34"/>
      <c r="D48" s="35"/>
      <c r="E48" s="34"/>
      <c r="F48" s="35"/>
      <c r="G48" s="36"/>
      <c r="H48" s="35"/>
      <c r="I48" s="36"/>
      <c r="J48" s="35"/>
      <c r="K48" s="36"/>
      <c r="L48" s="35"/>
      <c r="M48" s="36"/>
      <c r="N48" s="35"/>
      <c r="O48" s="36"/>
      <c r="P48" s="35"/>
      <c r="Q48" s="22"/>
    </row>
    <row r="49" spans="2:21" s="23" customFormat="1" ht="17.5" customHeight="1" x14ac:dyDescent="0.45">
      <c r="B49" s="50" t="s">
        <v>2</v>
      </c>
      <c r="C49" s="37"/>
      <c r="D49" s="38"/>
      <c r="E49" s="37"/>
      <c r="F49" s="38"/>
      <c r="G49" s="39"/>
      <c r="H49" s="38"/>
      <c r="I49" s="39"/>
      <c r="J49" s="38"/>
      <c r="K49" s="39"/>
      <c r="L49" s="38"/>
      <c r="M49" s="39"/>
      <c r="N49" s="38"/>
      <c r="O49" s="39"/>
      <c r="P49" s="38"/>
      <c r="Q49" s="22"/>
    </row>
    <row r="50" spans="2:21" s="23" customFormat="1" ht="17.5" customHeight="1" x14ac:dyDescent="0.45">
      <c r="B50" s="50" t="s">
        <v>3</v>
      </c>
      <c r="C50" s="37"/>
      <c r="D50" s="38"/>
      <c r="E50" s="37"/>
      <c r="F50" s="38"/>
      <c r="G50" s="39"/>
      <c r="H50" s="38"/>
      <c r="I50" s="39"/>
      <c r="J50" s="38"/>
      <c r="K50" s="39"/>
      <c r="L50" s="38"/>
      <c r="M50" s="39"/>
      <c r="N50" s="38"/>
      <c r="O50" s="39"/>
      <c r="P50" s="38"/>
      <c r="Q50" s="22"/>
    </row>
    <row r="51" spans="2:21" s="23" customFormat="1" ht="17.5" customHeight="1" x14ac:dyDescent="0.45">
      <c r="B51" s="50" t="s">
        <v>4</v>
      </c>
      <c r="C51" s="37"/>
      <c r="D51" s="38"/>
      <c r="E51" s="37"/>
      <c r="F51" s="38"/>
      <c r="G51" s="39"/>
      <c r="H51" s="38"/>
      <c r="I51" s="39"/>
      <c r="J51" s="38"/>
      <c r="K51" s="39"/>
      <c r="L51" s="38"/>
      <c r="M51" s="39"/>
      <c r="N51" s="38"/>
      <c r="O51" s="39"/>
      <c r="P51" s="38"/>
      <c r="Q51" s="22"/>
    </row>
    <row r="52" spans="2:21" s="23" customFormat="1" ht="17.5" customHeight="1" x14ac:dyDescent="0.45">
      <c r="B52" s="50" t="s">
        <v>2</v>
      </c>
      <c r="C52" s="37"/>
      <c r="D52" s="38"/>
      <c r="E52" s="37"/>
      <c r="F52" s="38"/>
      <c r="G52" s="39"/>
      <c r="H52" s="38"/>
      <c r="I52" s="39"/>
      <c r="J52" s="38"/>
      <c r="K52" s="39"/>
      <c r="L52" s="38"/>
      <c r="M52" s="39"/>
      <c r="N52" s="38"/>
      <c r="O52" s="39"/>
      <c r="P52" s="38"/>
      <c r="Q52" s="22"/>
    </row>
    <row r="53" spans="2:21" s="23" customFormat="1" ht="17.5" customHeight="1" x14ac:dyDescent="0.45">
      <c r="B53" s="50"/>
      <c r="C53" s="37"/>
      <c r="D53" s="38"/>
      <c r="E53" s="37"/>
      <c r="F53" s="38"/>
      <c r="G53" s="39"/>
      <c r="H53" s="38"/>
      <c r="I53" s="39"/>
      <c r="J53" s="38"/>
      <c r="K53" s="39"/>
      <c r="L53" s="38"/>
      <c r="M53" s="39"/>
      <c r="N53" s="38"/>
      <c r="O53" s="39"/>
      <c r="P53" s="38"/>
      <c r="Q53" s="22"/>
    </row>
    <row r="54" spans="2:21" s="23" customFormat="1" ht="17.5" customHeight="1" x14ac:dyDescent="0.45">
      <c r="B54" s="50" t="s">
        <v>6</v>
      </c>
      <c r="C54" s="37"/>
      <c r="D54" s="38"/>
      <c r="E54" s="37"/>
      <c r="F54" s="38"/>
      <c r="G54" s="39"/>
      <c r="H54" s="38"/>
      <c r="I54" s="39"/>
      <c r="J54" s="38"/>
      <c r="K54" s="39"/>
      <c r="L54" s="38"/>
      <c r="M54" s="39"/>
      <c r="N54" s="38"/>
      <c r="O54" s="39"/>
      <c r="P54" s="38"/>
      <c r="Q54" s="22"/>
    </row>
    <row r="55" spans="2:21" s="23" customFormat="1" ht="17.5" customHeight="1" x14ac:dyDescent="0.35">
      <c r="B55" s="48"/>
      <c r="C55" s="37"/>
      <c r="D55" s="38"/>
      <c r="E55" s="37"/>
      <c r="F55" s="38"/>
      <c r="G55" s="39"/>
      <c r="H55" s="38"/>
      <c r="I55" s="39"/>
      <c r="J55" s="38"/>
      <c r="K55" s="39"/>
      <c r="L55" s="38"/>
      <c r="M55" s="39"/>
      <c r="N55" s="38"/>
      <c r="O55" s="39"/>
      <c r="P55" s="38"/>
      <c r="Q55" s="22"/>
    </row>
    <row r="56" spans="2:21" s="23" customFormat="1" ht="17.5" customHeight="1" x14ac:dyDescent="0.35">
      <c r="B56" s="48"/>
      <c r="C56" s="37"/>
      <c r="D56" s="38"/>
      <c r="E56" s="37"/>
      <c r="F56" s="38"/>
      <c r="G56" s="39"/>
      <c r="H56" s="38"/>
      <c r="I56" s="39"/>
      <c r="J56" s="38"/>
      <c r="K56" s="39"/>
      <c r="L56" s="38"/>
      <c r="M56" s="39"/>
      <c r="N56" s="38"/>
      <c r="O56" s="39"/>
      <c r="P56" s="38"/>
      <c r="Q56" s="22"/>
    </row>
    <row r="57" spans="2:21" s="23" customFormat="1" ht="17.5" customHeight="1" x14ac:dyDescent="0.35">
      <c r="B57" s="48"/>
      <c r="C57" s="37"/>
      <c r="D57" s="38"/>
      <c r="E57" s="37"/>
      <c r="F57" s="38"/>
      <c r="G57" s="39"/>
      <c r="H57" s="38"/>
      <c r="I57" s="39"/>
      <c r="J57" s="38"/>
      <c r="K57" s="39"/>
      <c r="L57" s="38"/>
      <c r="M57" s="39"/>
      <c r="N57" s="38"/>
      <c r="O57" s="39"/>
      <c r="P57" s="38"/>
      <c r="Q57" s="22"/>
    </row>
    <row r="58" spans="2:21" s="23" customFormat="1" ht="17.5" customHeight="1" x14ac:dyDescent="0.35">
      <c r="B58" s="48"/>
      <c r="C58" s="37"/>
      <c r="D58" s="38"/>
      <c r="E58" s="37"/>
      <c r="F58" s="38"/>
      <c r="G58" s="39"/>
      <c r="H58" s="38"/>
      <c r="I58" s="39"/>
      <c r="J58" s="38"/>
      <c r="K58" s="39"/>
      <c r="L58" s="38"/>
      <c r="M58" s="39"/>
      <c r="N58" s="38"/>
      <c r="O58" s="39"/>
      <c r="P58" s="38"/>
      <c r="Q58" s="22"/>
    </row>
    <row r="59" spans="2:21" s="23" customFormat="1" ht="17.5" customHeight="1" x14ac:dyDescent="0.35">
      <c r="B59" s="49"/>
      <c r="C59" s="40" t="s">
        <v>5</v>
      </c>
      <c r="D59" s="41"/>
      <c r="E59" s="40" t="s">
        <v>5</v>
      </c>
      <c r="F59" s="41"/>
      <c r="G59" s="42" t="s">
        <v>5</v>
      </c>
      <c r="H59" s="41"/>
      <c r="I59" s="42" t="s">
        <v>5</v>
      </c>
      <c r="J59" s="41"/>
      <c r="K59" s="42" t="s">
        <v>5</v>
      </c>
      <c r="L59" s="41"/>
      <c r="M59" s="42" t="s">
        <v>5</v>
      </c>
      <c r="N59" s="41"/>
      <c r="O59" s="42" t="s">
        <v>5</v>
      </c>
      <c r="P59" s="41"/>
      <c r="Q59" s="22"/>
    </row>
    <row r="60" spans="2:21" s="51" customFormat="1" ht="18" customHeight="1" x14ac:dyDescent="0.3">
      <c r="B60" s="52"/>
      <c r="C60" s="55">
        <f>IF(DAY(MarSun1)=1,IF(AND(YEAR(MarSun1+22)=CalendarYear,MONTH(MarSun1+22)=3),MarSun1+22,""),IF(AND(YEAR(MarSun1+29)=CalendarYear,MONTH(MarSun1+29)=3),MarSun1+29,""))</f>
        <v>44284</v>
      </c>
      <c r="D60" s="61" t="s">
        <v>29</v>
      </c>
      <c r="E60" s="55">
        <f>IF(DAY(MarSun1)=1,IF(AND(YEAR(MarSun1+23)=CalendarYear,MONTH(MarSun1+23)=3),MarSun1+23,""),IF(AND(YEAR(MarSun1+30)=CalendarYear,MONTH(MarSun1+30)=3),MarSun1+30,""))</f>
        <v>44285</v>
      </c>
      <c r="F60" s="61" t="s">
        <v>29</v>
      </c>
      <c r="G60" s="56">
        <f>IF(DAY(MarSun1)=1,IF(AND(YEAR(MarSun1+24)=CalendarYear,MONTH(MarSun1+24)=3),MarSun1+24,""),IF(AND(YEAR(MarSun1+31)=CalendarYear,MONTH(MarSun1+31)=3),MarSun1+31,""))</f>
        <v>44286</v>
      </c>
      <c r="H60" s="61" t="s">
        <v>29</v>
      </c>
      <c r="I60" s="56" t="str">
        <f>IF(DAY(MarSun1)=1,IF(AND(YEAR(MarSun1+25)=CalendarYear,MONTH(MarSun1+25)=3),MarSun1+25,""),IF(AND(YEAR(MarSun1+32)=CalendarYear,MONTH(MarSun1+32)=3),MarSun1+32,""))</f>
        <v/>
      </c>
      <c r="J60" s="61" t="s">
        <v>29</v>
      </c>
      <c r="K60" s="56" t="str">
        <f>IF(DAY(MarSun1)=1,IF(AND(YEAR(MarSun1+26)=CalendarYear,MONTH(MarSun1+26)=3),MarSun1+26,""),IF(AND(YEAR(MarSun1+33)=CalendarYear,MONTH(MarSun1+33)=3),MarSun1+33,""))</f>
        <v/>
      </c>
      <c r="L60" s="61" t="s">
        <v>29</v>
      </c>
      <c r="M60" s="56" t="str">
        <f>IF(DAY(MarSun1)=1,IF(AND(YEAR(MarSun1+27)=CalendarYear,MONTH(MarSun1+27)=3),MarSun1+27,""),IF(AND(YEAR(MarSun1+34)=CalendarYear,MONTH(MarSun1+34)=3),MarSun1+34,""))</f>
        <v/>
      </c>
      <c r="N60" s="61" t="s">
        <v>29</v>
      </c>
      <c r="O60" s="56" t="str">
        <f>IF(DAY(MarSun1)=1,IF(AND(YEAR(MarSun1+28)=CalendarYear,MONTH(MarSun1+28)=3),MarSun1+28,""),IF(AND(YEAR(MarSun1+35)=CalendarYear,MONTH(MarSun1+35)=3),MarSun1+35,""))</f>
        <v/>
      </c>
      <c r="P60" s="61" t="s">
        <v>29</v>
      </c>
      <c r="Q60" s="47"/>
      <c r="T60" s="53"/>
      <c r="U60" s="54"/>
    </row>
    <row r="61" spans="2:21" s="23" customFormat="1" ht="17.5" customHeight="1" x14ac:dyDescent="0.45">
      <c r="B61" s="50" t="s">
        <v>1</v>
      </c>
      <c r="C61" s="25"/>
      <c r="D61" s="26"/>
      <c r="E61" s="25"/>
      <c r="F61" s="26"/>
      <c r="G61" s="27"/>
      <c r="H61" s="26"/>
      <c r="I61" s="27"/>
      <c r="J61" s="26"/>
      <c r="K61" s="27"/>
      <c r="L61" s="26"/>
      <c r="M61" s="27"/>
      <c r="N61" s="26"/>
      <c r="O61" s="27"/>
      <c r="P61" s="26"/>
      <c r="Q61" s="22"/>
    </row>
    <row r="62" spans="2:21" s="23" customFormat="1" ht="17.5" customHeight="1" x14ac:dyDescent="0.45">
      <c r="B62" s="50" t="s">
        <v>2</v>
      </c>
      <c r="C62" s="28"/>
      <c r="D62" s="29"/>
      <c r="E62" s="28"/>
      <c r="F62" s="29"/>
      <c r="G62" s="30"/>
      <c r="H62" s="29"/>
      <c r="I62" s="30"/>
      <c r="J62" s="29"/>
      <c r="K62" s="30"/>
      <c r="L62" s="29"/>
      <c r="M62" s="30"/>
      <c r="N62" s="29"/>
      <c r="O62" s="30"/>
      <c r="P62" s="29"/>
      <c r="Q62" s="22"/>
    </row>
    <row r="63" spans="2:21" s="23" customFormat="1" ht="17.5" customHeight="1" x14ac:dyDescent="0.45">
      <c r="B63" s="50" t="s">
        <v>3</v>
      </c>
      <c r="C63" s="28"/>
      <c r="D63" s="29"/>
      <c r="E63" s="28"/>
      <c r="F63" s="29"/>
      <c r="G63" s="30"/>
      <c r="H63" s="29"/>
      <c r="I63" s="30"/>
      <c r="J63" s="29"/>
      <c r="K63" s="30"/>
      <c r="L63" s="29"/>
      <c r="M63" s="30"/>
      <c r="N63" s="29"/>
      <c r="O63" s="30"/>
      <c r="P63" s="29"/>
      <c r="Q63" s="22"/>
    </row>
    <row r="64" spans="2:21" s="23" customFormat="1" ht="17.5" customHeight="1" x14ac:dyDescent="0.45">
      <c r="B64" s="50" t="s">
        <v>4</v>
      </c>
      <c r="C64" s="28"/>
      <c r="D64" s="29"/>
      <c r="E64" s="28"/>
      <c r="F64" s="29"/>
      <c r="G64" s="30"/>
      <c r="H64" s="29"/>
      <c r="I64" s="30"/>
      <c r="J64" s="29"/>
      <c r="K64" s="30"/>
      <c r="L64" s="29"/>
      <c r="M64" s="30"/>
      <c r="N64" s="29"/>
      <c r="O64" s="30"/>
      <c r="P64" s="29"/>
      <c r="Q64" s="22"/>
    </row>
    <row r="65" spans="1:21" s="23" customFormat="1" ht="17.5" customHeight="1" x14ac:dyDescent="0.45">
      <c r="B65" s="50" t="s">
        <v>2</v>
      </c>
      <c r="C65" s="28"/>
      <c r="D65" s="29"/>
      <c r="E65" s="28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22"/>
    </row>
    <row r="66" spans="1:21" s="23" customFormat="1" ht="17.5" customHeight="1" x14ac:dyDescent="0.45">
      <c r="B66" s="50"/>
      <c r="C66" s="28"/>
      <c r="D66" s="29"/>
      <c r="E66" s="28"/>
      <c r="F66" s="29"/>
      <c r="G66" s="30"/>
      <c r="H66" s="29"/>
      <c r="I66" s="30"/>
      <c r="J66" s="29"/>
      <c r="K66" s="30"/>
      <c r="L66" s="29"/>
      <c r="M66" s="30"/>
      <c r="N66" s="29"/>
      <c r="O66" s="30"/>
      <c r="P66" s="29"/>
      <c r="Q66" s="22"/>
    </row>
    <row r="67" spans="1:21" s="23" customFormat="1" ht="17.5" customHeight="1" x14ac:dyDescent="0.45">
      <c r="B67" s="50" t="s">
        <v>6</v>
      </c>
      <c r="C67" s="28"/>
      <c r="D67" s="29"/>
      <c r="E67" s="28"/>
      <c r="F67" s="29"/>
      <c r="G67" s="30"/>
      <c r="H67" s="29"/>
      <c r="I67" s="30"/>
      <c r="J67" s="29"/>
      <c r="K67" s="30"/>
      <c r="L67" s="29"/>
      <c r="M67" s="30"/>
      <c r="N67" s="29"/>
      <c r="O67" s="30"/>
      <c r="P67" s="29"/>
      <c r="Q67" s="22"/>
    </row>
    <row r="68" spans="1:21" s="23" customFormat="1" ht="17.5" customHeight="1" x14ac:dyDescent="0.35">
      <c r="B68" s="48"/>
      <c r="C68" s="28"/>
      <c r="D68" s="29"/>
      <c r="E68" s="28"/>
      <c r="F68" s="29"/>
      <c r="G68" s="30"/>
      <c r="H68" s="29"/>
      <c r="I68" s="30"/>
      <c r="J68" s="29"/>
      <c r="K68" s="30"/>
      <c r="L68" s="29"/>
      <c r="M68" s="30"/>
      <c r="N68" s="29"/>
      <c r="O68" s="30"/>
      <c r="P68" s="29"/>
      <c r="Q68" s="22"/>
    </row>
    <row r="69" spans="1:21" s="23" customFormat="1" ht="17.5" customHeight="1" x14ac:dyDescent="0.35">
      <c r="B69" s="48"/>
      <c r="C69" s="28"/>
      <c r="D69" s="29"/>
      <c r="E69" s="28"/>
      <c r="F69" s="29"/>
      <c r="G69" s="30"/>
      <c r="H69" s="29"/>
      <c r="I69" s="30"/>
      <c r="J69" s="29"/>
      <c r="K69" s="30"/>
      <c r="L69" s="29"/>
      <c r="M69" s="30"/>
      <c r="N69" s="29"/>
      <c r="O69" s="30"/>
      <c r="P69" s="29"/>
      <c r="Q69" s="22"/>
    </row>
    <row r="70" spans="1:21" s="23" customFormat="1" ht="17.5" customHeight="1" x14ac:dyDescent="0.35">
      <c r="B70" s="48"/>
      <c r="C70" s="28"/>
      <c r="D70" s="29"/>
      <c r="E70" s="28"/>
      <c r="F70" s="29"/>
      <c r="G70" s="30"/>
      <c r="H70" s="29"/>
      <c r="I70" s="30"/>
      <c r="J70" s="29"/>
      <c r="K70" s="30"/>
      <c r="L70" s="29"/>
      <c r="M70" s="30"/>
      <c r="N70" s="29"/>
      <c r="O70" s="30"/>
      <c r="P70" s="29"/>
      <c r="Q70" s="22"/>
    </row>
    <row r="71" spans="1:21" s="23" customFormat="1" ht="17.5" customHeight="1" x14ac:dyDescent="0.35">
      <c r="B71" s="48"/>
      <c r="C71" s="28"/>
      <c r="D71" s="29"/>
      <c r="E71" s="28"/>
      <c r="F71" s="29"/>
      <c r="G71" s="30"/>
      <c r="H71" s="29"/>
      <c r="I71" s="30"/>
      <c r="J71" s="29"/>
      <c r="K71" s="30"/>
      <c r="L71" s="29"/>
      <c r="M71" s="30"/>
      <c r="N71" s="29"/>
      <c r="O71" s="30"/>
      <c r="P71" s="29"/>
      <c r="Q71" s="22"/>
    </row>
    <row r="72" spans="1:21" s="23" customFormat="1" ht="17.5" customHeight="1" x14ac:dyDescent="0.35">
      <c r="B72" s="49"/>
      <c r="C72" s="31" t="s">
        <v>5</v>
      </c>
      <c r="D72" s="32"/>
      <c r="E72" s="31" t="s">
        <v>5</v>
      </c>
      <c r="F72" s="32"/>
      <c r="G72" s="33" t="s">
        <v>5</v>
      </c>
      <c r="H72" s="32"/>
      <c r="I72" s="33" t="s">
        <v>5</v>
      </c>
      <c r="J72" s="32"/>
      <c r="K72" s="33" t="s">
        <v>5</v>
      </c>
      <c r="L72" s="32"/>
      <c r="M72" s="33" t="s">
        <v>5</v>
      </c>
      <c r="N72" s="32"/>
      <c r="O72" s="33" t="s">
        <v>5</v>
      </c>
      <c r="P72" s="32"/>
      <c r="Q72" s="22"/>
    </row>
    <row r="73" spans="1:21" s="21" customFormat="1" ht="18" customHeight="1" x14ac:dyDescent="0.3">
      <c r="A73" s="51"/>
      <c r="B73" s="52"/>
      <c r="C73" s="55" t="str">
        <f>IF(DAY(MarSun1)=1,IF(AND(YEAR(MarSun1+29)=CalendarYear,MONTH(MarSun1+29)=3),MarSun1+29,""),IF(AND(YEAR(MarSun1+36)=CalendarYear,MONTH(MarSun1+36)=3),MarSun1+36,""))</f>
        <v/>
      </c>
      <c r="D73" s="61" t="s">
        <v>29</v>
      </c>
      <c r="E73" s="55" t="str">
        <f>IF(DAY(MarSun1)=1,IF(AND(YEAR(MarSun1+30)=CalendarYear,MONTH(MarSun1+30)=3),MarSun1+30,""),IF(AND(YEAR(MarSun1+37)=CalendarYear,MONTH(MarSun1+37)=3),MarSun1+37,""))</f>
        <v/>
      </c>
      <c r="F73" s="61" t="s">
        <v>29</v>
      </c>
      <c r="G73" s="56" t="s">
        <v>14</v>
      </c>
      <c r="H73" s="57"/>
      <c r="I73" s="58"/>
      <c r="J73" s="57"/>
      <c r="K73" s="58"/>
      <c r="L73" s="57"/>
      <c r="M73" s="58"/>
      <c r="N73" s="57"/>
      <c r="O73" s="58"/>
      <c r="P73" s="57"/>
      <c r="Q73" s="22"/>
      <c r="T73" s="23"/>
      <c r="U73" s="24"/>
    </row>
    <row r="74" spans="1:21" s="23" customFormat="1" ht="17.5" customHeight="1" x14ac:dyDescent="0.45">
      <c r="B74" s="50" t="s">
        <v>1</v>
      </c>
      <c r="C74" s="34"/>
      <c r="D74" s="35"/>
      <c r="E74" s="34"/>
      <c r="F74" s="35"/>
      <c r="G74" s="163"/>
      <c r="H74" s="164"/>
      <c r="I74" s="164"/>
      <c r="J74" s="164"/>
      <c r="K74" s="164"/>
      <c r="L74" s="164"/>
      <c r="M74" s="164"/>
      <c r="N74" s="164"/>
      <c r="O74" s="164"/>
      <c r="P74" s="165"/>
      <c r="Q74" s="22"/>
    </row>
    <row r="75" spans="1:21" s="23" customFormat="1" ht="17.5" customHeight="1" x14ac:dyDescent="0.45">
      <c r="B75" s="50" t="s">
        <v>2</v>
      </c>
      <c r="C75" s="37"/>
      <c r="D75" s="38"/>
      <c r="E75" s="37"/>
      <c r="F75" s="38"/>
      <c r="G75" s="166"/>
      <c r="H75" s="167"/>
      <c r="I75" s="167"/>
      <c r="J75" s="167"/>
      <c r="K75" s="167"/>
      <c r="L75" s="167"/>
      <c r="M75" s="167"/>
      <c r="N75" s="167"/>
      <c r="O75" s="167"/>
      <c r="P75" s="168"/>
      <c r="Q75" s="22"/>
    </row>
    <row r="76" spans="1:21" s="23" customFormat="1" ht="17.5" customHeight="1" x14ac:dyDescent="0.45">
      <c r="B76" s="50" t="s">
        <v>3</v>
      </c>
      <c r="C76" s="37"/>
      <c r="D76" s="38"/>
      <c r="E76" s="37"/>
      <c r="F76" s="38"/>
      <c r="G76" s="166"/>
      <c r="H76" s="167"/>
      <c r="I76" s="167"/>
      <c r="J76" s="167"/>
      <c r="K76" s="167"/>
      <c r="L76" s="167"/>
      <c r="M76" s="167"/>
      <c r="N76" s="167"/>
      <c r="O76" s="167"/>
      <c r="P76" s="168"/>
      <c r="Q76" s="22"/>
    </row>
    <row r="77" spans="1:21" s="23" customFormat="1" ht="17.5" customHeight="1" x14ac:dyDescent="0.45">
      <c r="B77" s="50" t="s">
        <v>4</v>
      </c>
      <c r="C77" s="37"/>
      <c r="D77" s="38"/>
      <c r="E77" s="37"/>
      <c r="F77" s="38"/>
      <c r="G77" s="166"/>
      <c r="H77" s="167"/>
      <c r="I77" s="167"/>
      <c r="J77" s="167"/>
      <c r="K77" s="167"/>
      <c r="L77" s="167"/>
      <c r="M77" s="167"/>
      <c r="N77" s="167"/>
      <c r="O77" s="167"/>
      <c r="P77" s="168"/>
      <c r="Q77" s="22"/>
    </row>
    <row r="78" spans="1:21" s="23" customFormat="1" ht="17.5" customHeight="1" x14ac:dyDescent="0.45">
      <c r="B78" s="50" t="s">
        <v>2</v>
      </c>
      <c r="C78" s="37"/>
      <c r="D78" s="38"/>
      <c r="E78" s="37"/>
      <c r="F78" s="38"/>
      <c r="G78" s="166"/>
      <c r="H78" s="167"/>
      <c r="I78" s="167"/>
      <c r="J78" s="167"/>
      <c r="K78" s="167"/>
      <c r="L78" s="167"/>
      <c r="M78" s="167"/>
      <c r="N78" s="167"/>
      <c r="O78" s="167"/>
      <c r="P78" s="168"/>
      <c r="Q78" s="22"/>
    </row>
    <row r="79" spans="1:21" s="23" customFormat="1" ht="17.5" customHeight="1" x14ac:dyDescent="0.45">
      <c r="B79" s="50"/>
      <c r="C79" s="37"/>
      <c r="D79" s="38"/>
      <c r="E79" s="37"/>
      <c r="F79" s="38"/>
      <c r="G79" s="166"/>
      <c r="H79" s="167"/>
      <c r="I79" s="167"/>
      <c r="J79" s="167"/>
      <c r="K79" s="167"/>
      <c r="L79" s="167"/>
      <c r="M79" s="167"/>
      <c r="N79" s="167"/>
      <c r="O79" s="167"/>
      <c r="P79" s="168"/>
      <c r="Q79" s="22"/>
    </row>
    <row r="80" spans="1:21" s="23" customFormat="1" ht="17.5" customHeight="1" x14ac:dyDescent="0.45">
      <c r="B80" s="50" t="s">
        <v>6</v>
      </c>
      <c r="C80" s="37"/>
      <c r="D80" s="38"/>
      <c r="E80" s="37"/>
      <c r="F80" s="38"/>
      <c r="G80" s="166"/>
      <c r="H80" s="167"/>
      <c r="I80" s="167"/>
      <c r="J80" s="167"/>
      <c r="K80" s="167"/>
      <c r="L80" s="167"/>
      <c r="M80" s="167"/>
      <c r="N80" s="167"/>
      <c r="O80" s="167"/>
      <c r="P80" s="168"/>
      <c r="Q80" s="22"/>
    </row>
    <row r="81" spans="1:17" s="23" customFormat="1" ht="17.5" customHeight="1" x14ac:dyDescent="0.35">
      <c r="B81" s="48"/>
      <c r="C81" s="37"/>
      <c r="D81" s="38"/>
      <c r="E81" s="37"/>
      <c r="F81" s="38"/>
      <c r="G81" s="166"/>
      <c r="H81" s="167"/>
      <c r="I81" s="167"/>
      <c r="J81" s="167"/>
      <c r="K81" s="167"/>
      <c r="L81" s="167"/>
      <c r="M81" s="167"/>
      <c r="N81" s="167"/>
      <c r="O81" s="167"/>
      <c r="P81" s="168"/>
      <c r="Q81" s="22"/>
    </row>
    <row r="82" spans="1:17" s="23" customFormat="1" ht="17.5" customHeight="1" x14ac:dyDescent="0.35">
      <c r="B82" s="48"/>
      <c r="C82" s="37"/>
      <c r="D82" s="38"/>
      <c r="E82" s="37"/>
      <c r="F82" s="38"/>
      <c r="G82" s="166"/>
      <c r="H82" s="167"/>
      <c r="I82" s="167"/>
      <c r="J82" s="167"/>
      <c r="K82" s="167"/>
      <c r="L82" s="167"/>
      <c r="M82" s="167"/>
      <c r="N82" s="167"/>
      <c r="O82" s="167"/>
      <c r="P82" s="168"/>
      <c r="Q82" s="22"/>
    </row>
    <row r="83" spans="1:17" s="23" customFormat="1" ht="17.5" customHeight="1" x14ac:dyDescent="0.35">
      <c r="B83" s="48"/>
      <c r="C83" s="37"/>
      <c r="D83" s="38"/>
      <c r="E83" s="37"/>
      <c r="F83" s="38"/>
      <c r="G83" s="166"/>
      <c r="H83" s="167"/>
      <c r="I83" s="167"/>
      <c r="J83" s="167"/>
      <c r="K83" s="167"/>
      <c r="L83" s="167"/>
      <c r="M83" s="167"/>
      <c r="N83" s="167"/>
      <c r="O83" s="167"/>
      <c r="P83" s="168"/>
      <c r="Q83" s="22"/>
    </row>
    <row r="84" spans="1:17" s="23" customFormat="1" ht="17.5" customHeight="1" x14ac:dyDescent="0.35">
      <c r="B84" s="48"/>
      <c r="C84" s="37"/>
      <c r="D84" s="38"/>
      <c r="E84" s="37"/>
      <c r="F84" s="38"/>
      <c r="G84" s="166"/>
      <c r="H84" s="167"/>
      <c r="I84" s="167"/>
      <c r="J84" s="167"/>
      <c r="K84" s="167"/>
      <c r="L84" s="167"/>
      <c r="M84" s="167"/>
      <c r="N84" s="167"/>
      <c r="O84" s="167"/>
      <c r="P84" s="168"/>
      <c r="Q84" s="22"/>
    </row>
    <row r="85" spans="1:17" s="23" customFormat="1" ht="17.5" customHeight="1" x14ac:dyDescent="0.35">
      <c r="B85" s="49"/>
      <c r="C85" s="40" t="s">
        <v>5</v>
      </c>
      <c r="D85" s="41"/>
      <c r="E85" s="40" t="s">
        <v>5</v>
      </c>
      <c r="F85" s="41"/>
      <c r="G85" s="169"/>
      <c r="H85" s="170"/>
      <c r="I85" s="170"/>
      <c r="J85" s="170"/>
      <c r="K85" s="170"/>
      <c r="L85" s="170"/>
      <c r="M85" s="170"/>
      <c r="N85" s="170"/>
      <c r="O85" s="170"/>
      <c r="P85" s="171"/>
      <c r="Q85" s="22"/>
    </row>
    <row r="86" spans="1:17" ht="22.75" customHeight="1" x14ac:dyDescent="0.3">
      <c r="B86" s="159" t="s">
        <v>27</v>
      </c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</row>
    <row r="87" spans="1:17" ht="22.75" customHeight="1" x14ac:dyDescent="0.3">
      <c r="A87" s="2"/>
      <c r="B87" s="158" t="s">
        <v>28</v>
      </c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</row>
    <row r="88" spans="1:17" x14ac:dyDescent="0.3">
      <c r="A88" s="2"/>
    </row>
    <row r="89" spans="1:17" x14ac:dyDescent="0.3">
      <c r="A89" s="2"/>
    </row>
    <row r="90" spans="1:17" ht="21" customHeight="1" x14ac:dyDescent="0.3">
      <c r="A90" s="2"/>
      <c r="E90" s="5"/>
      <c r="F90" s="17"/>
      <c r="G90" s="4"/>
      <c r="H90" s="18"/>
      <c r="I90" s="3"/>
      <c r="J90" s="19"/>
    </row>
    <row r="91" spans="1:17" ht="19.5" customHeight="1" x14ac:dyDescent="0.3">
      <c r="A91" s="2"/>
    </row>
    <row r="92" spans="1:17" ht="15" x14ac:dyDescent="0.3">
      <c r="A92"/>
    </row>
    <row r="93" spans="1:17" x14ac:dyDescent="0.3">
      <c r="A93" s="2"/>
    </row>
    <row r="94" spans="1:17" x14ac:dyDescent="0.3">
      <c r="A94" s="2"/>
    </row>
    <row r="95" spans="1:17" x14ac:dyDescent="0.3">
      <c r="A95" s="2"/>
    </row>
    <row r="96" spans="1:17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ht="15" x14ac:dyDescent="0.3">
      <c r="A105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ht="15" x14ac:dyDescent="0.3">
      <c r="A118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ht="15" x14ac:dyDescent="0.3">
      <c r="A131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4" spans="1:1" ht="15" x14ac:dyDescent="0.3">
      <c r="A144"/>
    </row>
    <row r="145" spans="1:1" x14ac:dyDescent="0.3">
      <c r="A145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x14ac:dyDescent="0.3">
      <c r="A150" s="2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ht="15" x14ac:dyDescent="0.3">
      <c r="A163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x14ac:dyDescent="0.3">
      <c r="A174" s="2"/>
    </row>
    <row r="175" spans="1:1" x14ac:dyDescent="0.3">
      <c r="A175" s="2"/>
    </row>
    <row r="176" spans="1:1" ht="15" x14ac:dyDescent="0.3">
      <c r="A176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ht="15" x14ac:dyDescent="0.3">
      <c r="A189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ht="15" x14ac:dyDescent="0.3">
      <c r="A20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x14ac:dyDescent="0.3">
      <c r="A213" s="2"/>
    </row>
    <row r="214" spans="1:1" x14ac:dyDescent="0.3">
      <c r="A214" s="2"/>
    </row>
    <row r="215" spans="1:1" ht="15" x14ac:dyDescent="0.3">
      <c r="A215"/>
    </row>
    <row r="216" spans="1:1" x14ac:dyDescent="0.3">
      <c r="A216" s="2"/>
    </row>
    <row r="217" spans="1:1" x14ac:dyDescent="0.3">
      <c r="A217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x14ac:dyDescent="0.3">
      <c r="A225" s="2"/>
    </row>
    <row r="226" spans="1:1" x14ac:dyDescent="0.3">
      <c r="A226" s="2"/>
    </row>
    <row r="227" spans="1:1" x14ac:dyDescent="0.3">
      <c r="A227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ht="15" x14ac:dyDescent="0.3">
      <c r="A238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ht="15" x14ac:dyDescent="0.3">
      <c r="A251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ht="15" x14ac:dyDescent="0.3">
      <c r="A264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  <row r="269" spans="1:1" x14ac:dyDescent="0.3">
      <c r="A269" s="2"/>
    </row>
    <row r="270" spans="1:1" x14ac:dyDescent="0.3">
      <c r="A270" s="2"/>
    </row>
    <row r="271" spans="1:1" x14ac:dyDescent="0.3">
      <c r="A271" s="2"/>
    </row>
    <row r="272" spans="1:1" x14ac:dyDescent="0.3">
      <c r="A272" s="2"/>
    </row>
    <row r="273" spans="1:1" x14ac:dyDescent="0.3">
      <c r="A273" s="2"/>
    </row>
    <row r="274" spans="1:1" x14ac:dyDescent="0.3">
      <c r="A274" s="2"/>
    </row>
    <row r="275" spans="1:1" x14ac:dyDescent="0.3">
      <c r="A275" s="2"/>
    </row>
    <row r="276" spans="1:1" x14ac:dyDescent="0.3">
      <c r="A276" s="2"/>
    </row>
    <row r="277" spans="1:1" ht="15" x14ac:dyDescent="0.3">
      <c r="A277"/>
    </row>
    <row r="278" spans="1:1" x14ac:dyDescent="0.3">
      <c r="A278" s="2"/>
    </row>
    <row r="279" spans="1:1" x14ac:dyDescent="0.3">
      <c r="A279" s="2"/>
    </row>
    <row r="280" spans="1:1" x14ac:dyDescent="0.3">
      <c r="A280" s="2"/>
    </row>
    <row r="281" spans="1:1" x14ac:dyDescent="0.3">
      <c r="A281" s="2"/>
    </row>
    <row r="282" spans="1:1" x14ac:dyDescent="0.3">
      <c r="A282" s="2"/>
    </row>
    <row r="283" spans="1:1" x14ac:dyDescent="0.3">
      <c r="A283" s="2"/>
    </row>
    <row r="284" spans="1:1" x14ac:dyDescent="0.3">
      <c r="A284" s="2"/>
    </row>
    <row r="285" spans="1:1" x14ac:dyDescent="0.3">
      <c r="A285" s="2"/>
    </row>
    <row r="286" spans="1:1" x14ac:dyDescent="0.3">
      <c r="A286" s="2"/>
    </row>
    <row r="287" spans="1:1" x14ac:dyDescent="0.3">
      <c r="A287" s="2"/>
    </row>
    <row r="288" spans="1:1" x14ac:dyDescent="0.3">
      <c r="A288" s="2"/>
    </row>
    <row r="289" spans="1:1" x14ac:dyDescent="0.3">
      <c r="A289" s="2"/>
    </row>
    <row r="290" spans="1:1" ht="15" x14ac:dyDescent="0.3">
      <c r="A290"/>
    </row>
    <row r="291" spans="1:1" x14ac:dyDescent="0.3">
      <c r="A291" s="2"/>
    </row>
    <row r="292" spans="1:1" x14ac:dyDescent="0.3">
      <c r="A292" s="2"/>
    </row>
    <row r="293" spans="1:1" x14ac:dyDescent="0.3">
      <c r="A293" s="2"/>
    </row>
    <row r="294" spans="1:1" x14ac:dyDescent="0.3">
      <c r="A294" s="2"/>
    </row>
    <row r="295" spans="1:1" x14ac:dyDescent="0.3">
      <c r="A295" s="2"/>
    </row>
    <row r="296" spans="1:1" x14ac:dyDescent="0.3">
      <c r="A296" s="2"/>
    </row>
    <row r="297" spans="1:1" x14ac:dyDescent="0.3">
      <c r="A297" s="2"/>
    </row>
    <row r="298" spans="1:1" x14ac:dyDescent="0.3">
      <c r="A298" s="2"/>
    </row>
    <row r="299" spans="1:1" x14ac:dyDescent="0.3">
      <c r="A299" s="2"/>
    </row>
    <row r="300" spans="1:1" x14ac:dyDescent="0.3">
      <c r="A300" s="2"/>
    </row>
    <row r="301" spans="1:1" x14ac:dyDescent="0.3">
      <c r="A301" s="2"/>
    </row>
    <row r="302" spans="1:1" x14ac:dyDescent="0.3">
      <c r="A302" s="2"/>
    </row>
  </sheetData>
  <mergeCells count="7">
    <mergeCell ref="B87:P87"/>
    <mergeCell ref="G6:H6"/>
    <mergeCell ref="BK4:BN5"/>
    <mergeCell ref="CB6:CC6"/>
    <mergeCell ref="G74:P85"/>
    <mergeCell ref="B4:C5"/>
    <mergeCell ref="B86:P86"/>
  </mergeCells>
  <printOptions horizontalCentered="1" verticalCentered="1"/>
  <pageMargins left="0.2" right="0.2" top="0.25" bottom="0.25" header="0" footer="0"/>
  <pageSetup scale="34" orientation="landscape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0" tint="-0.14999847407452621"/>
    <pageSetUpPr fitToPage="1"/>
  </sheetPr>
  <dimension ref="A1:CJ302"/>
  <sheetViews>
    <sheetView showGridLines="0" zoomScale="50" zoomScaleNormal="50" workbookViewId="0">
      <selection activeCell="C9" sqref="C9"/>
    </sheetView>
  </sheetViews>
  <sheetFormatPr defaultColWidth="6.69140625" defaultRowHeight="14" x14ac:dyDescent="0.3"/>
  <cols>
    <col min="1" max="1" width="5.53515625" style="1" customWidth="1"/>
    <col min="2" max="2" width="18.07421875" style="1" bestFit="1" customWidth="1"/>
    <col min="3" max="3" width="24.23046875" style="1" customWidth="1"/>
    <col min="4" max="4" width="7.4609375" style="14" customWidth="1"/>
    <col min="5" max="5" width="24.23046875" style="1" customWidth="1"/>
    <col min="6" max="6" width="7.4609375" style="14" customWidth="1"/>
    <col min="7" max="7" width="24.23046875" style="1" customWidth="1"/>
    <col min="8" max="8" width="7.4609375" style="14" customWidth="1"/>
    <col min="9" max="9" width="24.23046875" style="1" customWidth="1"/>
    <col min="10" max="10" width="7.4609375" style="14" customWidth="1"/>
    <col min="11" max="11" width="24.23046875" style="1" customWidth="1"/>
    <col min="12" max="12" width="7.4609375" style="14" customWidth="1"/>
    <col min="13" max="13" width="24.23046875" style="1" customWidth="1"/>
    <col min="14" max="14" width="7.4609375" style="14" customWidth="1"/>
    <col min="15" max="15" width="24.23046875" style="1" customWidth="1"/>
    <col min="16" max="16" width="7.4609375" style="14" customWidth="1"/>
    <col min="17" max="17" width="13.3046875" style="1" customWidth="1"/>
    <col min="18" max="18" width="31.3046875" style="1" customWidth="1"/>
    <col min="19" max="19" width="11.84375" style="1" customWidth="1"/>
    <col min="20" max="20" width="11.3046875" style="1" customWidth="1"/>
    <col min="21" max="16384" width="6.69140625" style="1"/>
  </cols>
  <sheetData>
    <row r="1" spans="1:88" ht="49.75" customHeight="1" x14ac:dyDescent="0.3">
      <c r="R1" s="46"/>
      <c r="S1" s="46"/>
    </row>
    <row r="2" spans="1:88" ht="13.75" customHeight="1" x14ac:dyDescent="0.3">
      <c r="R2" s="46"/>
      <c r="S2" s="46"/>
    </row>
    <row r="3" spans="1:88" ht="19.399999999999999" customHeight="1" x14ac:dyDescent="0.3">
      <c r="B3" s="9"/>
      <c r="R3" s="46"/>
      <c r="S3" s="46"/>
      <c r="BB3" s="9"/>
      <c r="BC3" s="9"/>
      <c r="BD3" s="9"/>
    </row>
    <row r="4" spans="1:88" ht="43.75" customHeight="1" x14ac:dyDescent="0.65">
      <c r="B4" s="172"/>
      <c r="C4" s="172"/>
      <c r="R4" s="46"/>
      <c r="S4" s="46"/>
      <c r="BB4" s="9"/>
      <c r="BC4" s="9"/>
      <c r="BD4" s="9"/>
      <c r="BK4" s="160"/>
      <c r="BL4" s="160"/>
      <c r="BM4" s="160"/>
      <c r="BN4" s="160"/>
      <c r="CG4" s="11"/>
      <c r="CH4" s="13"/>
      <c r="CI4" s="11"/>
    </row>
    <row r="5" spans="1:88" ht="30" customHeight="1" x14ac:dyDescent="0.65">
      <c r="B5" s="172"/>
      <c r="C5" s="172"/>
      <c r="D5" s="15"/>
      <c r="F5" s="15"/>
      <c r="H5" s="15"/>
      <c r="I5" s="9"/>
      <c r="J5" s="15"/>
      <c r="K5" s="9"/>
      <c r="L5" s="15"/>
      <c r="M5" s="9"/>
      <c r="N5" s="15"/>
      <c r="O5" s="9"/>
      <c r="P5" s="15"/>
      <c r="R5" s="44"/>
      <c r="S5" s="44"/>
      <c r="BB5" s="9"/>
      <c r="BC5" s="9"/>
      <c r="BD5" s="9"/>
      <c r="BH5" s="9"/>
      <c r="BI5" s="9"/>
      <c r="BJ5" s="9"/>
      <c r="BK5" s="160"/>
      <c r="BL5" s="160"/>
      <c r="BM5" s="160"/>
      <c r="BN5" s="160"/>
      <c r="BO5" s="9"/>
      <c r="BP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12"/>
      <c r="CH5" s="12"/>
      <c r="CI5" s="12"/>
      <c r="CJ5" s="9"/>
    </row>
    <row r="6" spans="1:88" ht="48.65" customHeight="1" x14ac:dyDescent="0.65">
      <c r="F6" s="16"/>
      <c r="G6" s="173" t="s">
        <v>17</v>
      </c>
      <c r="H6" s="173"/>
      <c r="I6" s="59" t="str">
        <f>UPPER(TEXT(DATE(CalendarYear,1,1)," yyyy"))</f>
        <v xml:space="preserve"> 2021</v>
      </c>
      <c r="J6" s="16"/>
      <c r="K6" s="7"/>
      <c r="L6" s="16"/>
      <c r="N6" s="16"/>
      <c r="R6" s="43"/>
      <c r="S6" s="43"/>
      <c r="BO6" s="7"/>
      <c r="BP6" s="8"/>
      <c r="BR6" s="7"/>
      <c r="BS6" s="8"/>
      <c r="BT6" s="7"/>
      <c r="BU6" s="7"/>
      <c r="BV6" s="8"/>
      <c r="BW6" s="7"/>
      <c r="BX6" s="7"/>
      <c r="BY6" s="8"/>
      <c r="CA6" s="7"/>
      <c r="CB6" s="161"/>
      <c r="CC6" s="161"/>
      <c r="CD6" s="10"/>
      <c r="CE6" s="8"/>
      <c r="CG6" s="11"/>
      <c r="CH6" s="11"/>
      <c r="CI6" s="11"/>
    </row>
    <row r="7" spans="1:88" customFormat="1" ht="26.25" customHeight="1" x14ac:dyDescent="0.3">
      <c r="A7" s="1"/>
      <c r="B7" s="20"/>
      <c r="C7" s="60" t="s">
        <v>7</v>
      </c>
      <c r="D7" s="60"/>
      <c r="E7" s="60" t="s">
        <v>8</v>
      </c>
      <c r="F7" s="60"/>
      <c r="G7" s="60" t="s">
        <v>9</v>
      </c>
      <c r="H7" s="60"/>
      <c r="I7" s="60" t="s">
        <v>10</v>
      </c>
      <c r="J7" s="60"/>
      <c r="K7" s="60" t="s">
        <v>11</v>
      </c>
      <c r="L7" s="60"/>
      <c r="M7" s="60" t="s">
        <v>12</v>
      </c>
      <c r="N7" s="60"/>
      <c r="O7" s="60" t="s">
        <v>13</v>
      </c>
      <c r="P7" s="45"/>
      <c r="Q7" s="1"/>
      <c r="S7" s="1"/>
      <c r="T7" s="6"/>
      <c r="X7" s="1"/>
      <c r="Y7" s="1"/>
    </row>
    <row r="8" spans="1:88" s="51" customFormat="1" ht="18" customHeight="1" x14ac:dyDescent="0.3">
      <c r="B8" s="52"/>
      <c r="C8" s="55" t="str">
        <f>IF(DAY(AprSun1)=1,"",IF(AND(YEAR(AprSun1+1)=CalendarYear,MONTH(AprSun1+1)=4),AprSun1+1,""))</f>
        <v/>
      </c>
      <c r="D8" s="61" t="s">
        <v>29</v>
      </c>
      <c r="E8" s="55" t="str">
        <f>IF(DAY(AprSun1)=1,"",IF(AND(YEAR(AprSun1+2)=CalendarYear,MONTH(AprSun1+2)=4),AprSun1+2,""))</f>
        <v/>
      </c>
      <c r="F8" s="61" t="s">
        <v>29</v>
      </c>
      <c r="G8" s="56" t="str">
        <f>IF(DAY(AprSun1)=1,"",IF(AND(YEAR(AprSun1+3)=CalendarYear,MONTH(AprSun1+3)=4),AprSun1+3,""))</f>
        <v/>
      </c>
      <c r="H8" s="61" t="s">
        <v>29</v>
      </c>
      <c r="I8" s="56">
        <f>IF(DAY(AprSun1)=1,"",IF(AND(YEAR(AprSun1+4)=CalendarYear,MONTH(AprSun1+4)=4),AprSun1+4,""))</f>
        <v>44287</v>
      </c>
      <c r="J8" s="61" t="s">
        <v>29</v>
      </c>
      <c r="K8" s="56">
        <f>IF(DAY(AprSun1)=1,"",IF(AND(YEAR(AprSun1+5)=CalendarYear,MONTH(AprSun1+5)=4),AprSun1+5,""))</f>
        <v>44288</v>
      </c>
      <c r="L8" s="61" t="s">
        <v>29</v>
      </c>
      <c r="M8" s="56">
        <f>IF(DAY(AprSun1)=1,"",IF(AND(YEAR(AprSun1+6)=CalendarYear,MONTH(AprSun1+6)=4),AprSun1+6,""))</f>
        <v>44289</v>
      </c>
      <c r="N8" s="61" t="s">
        <v>29</v>
      </c>
      <c r="O8" s="56">
        <f>IF(DAY(AprSun1)=1,IF(AND(YEAR(AprSun1)=CalendarYear,MONTH(AprSun1)=4),AprSun1,""),IF(AND(YEAR(AprSun1+7)=CalendarYear,MONTH(AprSun1+7)=4),AprSun1+7,""))</f>
        <v>44290</v>
      </c>
      <c r="P8" s="61" t="s">
        <v>29</v>
      </c>
      <c r="Q8" s="47"/>
      <c r="T8" s="53"/>
      <c r="U8" s="54"/>
    </row>
    <row r="9" spans="1:88" s="23" customFormat="1" ht="17.5" customHeight="1" x14ac:dyDescent="0.45">
      <c r="B9" s="50" t="s">
        <v>1</v>
      </c>
      <c r="C9" s="25"/>
      <c r="D9" s="26"/>
      <c r="E9" s="25"/>
      <c r="F9" s="26"/>
      <c r="G9" s="27"/>
      <c r="H9" s="26"/>
      <c r="I9" s="27"/>
      <c r="J9" s="26"/>
      <c r="K9" s="27"/>
      <c r="L9" s="26"/>
      <c r="M9" s="27"/>
      <c r="N9" s="26"/>
      <c r="O9" s="27"/>
      <c r="P9" s="26"/>
      <c r="Q9" s="22"/>
    </row>
    <row r="10" spans="1:88" s="23" customFormat="1" ht="17.5" customHeight="1" x14ac:dyDescent="0.45">
      <c r="B10" s="50" t="s">
        <v>2</v>
      </c>
      <c r="C10" s="28"/>
      <c r="D10" s="29"/>
      <c r="E10" s="28"/>
      <c r="F10" s="29"/>
      <c r="G10" s="30"/>
      <c r="H10" s="29"/>
      <c r="I10" s="30"/>
      <c r="J10" s="29"/>
      <c r="K10" s="30"/>
      <c r="L10" s="29"/>
      <c r="M10" s="30"/>
      <c r="N10" s="29"/>
      <c r="O10" s="30"/>
      <c r="P10" s="29"/>
      <c r="Q10" s="22"/>
    </row>
    <row r="11" spans="1:88" s="23" customFormat="1" ht="17.5" customHeight="1" x14ac:dyDescent="0.45">
      <c r="B11" s="50" t="s">
        <v>3</v>
      </c>
      <c r="C11" s="28"/>
      <c r="D11" s="29"/>
      <c r="E11" s="28"/>
      <c r="F11" s="29"/>
      <c r="G11" s="30"/>
      <c r="H11" s="29"/>
      <c r="I11" s="30"/>
      <c r="J11" s="29"/>
      <c r="K11" s="30"/>
      <c r="L11" s="29"/>
      <c r="M11" s="30"/>
      <c r="N11" s="29"/>
      <c r="O11" s="30"/>
      <c r="P11" s="29"/>
      <c r="Q11" s="22"/>
    </row>
    <row r="12" spans="1:88" s="23" customFormat="1" ht="17.5" customHeight="1" x14ac:dyDescent="0.45">
      <c r="B12" s="50" t="s">
        <v>4</v>
      </c>
      <c r="C12" s="28"/>
      <c r="D12" s="29"/>
      <c r="E12" s="28"/>
      <c r="F12" s="29"/>
      <c r="G12" s="30"/>
      <c r="H12" s="29"/>
      <c r="I12" s="30"/>
      <c r="J12" s="29"/>
      <c r="K12" s="30"/>
      <c r="L12" s="29"/>
      <c r="M12" s="30"/>
      <c r="N12" s="29"/>
      <c r="O12" s="30"/>
      <c r="P12" s="29"/>
      <c r="Q12" s="22"/>
    </row>
    <row r="13" spans="1:88" s="23" customFormat="1" ht="17.5" customHeight="1" x14ac:dyDescent="0.45">
      <c r="B13" s="50" t="s">
        <v>2</v>
      </c>
      <c r="C13" s="28"/>
      <c r="D13" s="29"/>
      <c r="E13" s="28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22"/>
    </row>
    <row r="14" spans="1:88" s="23" customFormat="1" ht="17.5" customHeight="1" x14ac:dyDescent="0.45">
      <c r="B14" s="50"/>
      <c r="C14" s="28"/>
      <c r="D14" s="29"/>
      <c r="E14" s="28"/>
      <c r="F14" s="29"/>
      <c r="G14" s="30"/>
      <c r="H14" s="29"/>
      <c r="I14" s="30"/>
      <c r="J14" s="29"/>
      <c r="K14" s="30"/>
      <c r="L14" s="29"/>
      <c r="M14" s="30"/>
      <c r="N14" s="29"/>
      <c r="O14" s="30"/>
      <c r="P14" s="29"/>
      <c r="Q14" s="22"/>
    </row>
    <row r="15" spans="1:88" s="23" customFormat="1" ht="17.5" customHeight="1" x14ac:dyDescent="0.45">
      <c r="B15" s="50" t="s">
        <v>6</v>
      </c>
      <c r="C15" s="28"/>
      <c r="D15" s="29"/>
      <c r="E15" s="28"/>
      <c r="F15" s="29"/>
      <c r="G15" s="30"/>
      <c r="H15" s="29"/>
      <c r="I15" s="30"/>
      <c r="J15" s="29"/>
      <c r="K15" s="30"/>
      <c r="L15" s="29"/>
      <c r="M15" s="30"/>
      <c r="N15" s="29"/>
      <c r="O15" s="30"/>
      <c r="P15" s="29"/>
      <c r="Q15" s="22"/>
    </row>
    <row r="16" spans="1:88" s="23" customFormat="1" ht="17.5" customHeight="1" x14ac:dyDescent="0.45">
      <c r="B16" s="50"/>
      <c r="C16" s="28"/>
      <c r="D16" s="29"/>
      <c r="E16" s="28"/>
      <c r="F16" s="29"/>
      <c r="G16" s="30"/>
      <c r="H16" s="29"/>
      <c r="I16" s="30"/>
      <c r="J16" s="29"/>
      <c r="K16" s="30"/>
      <c r="L16" s="29"/>
      <c r="M16" s="30"/>
      <c r="N16" s="29"/>
      <c r="O16" s="30"/>
      <c r="P16" s="29"/>
      <c r="Q16" s="22"/>
    </row>
    <row r="17" spans="2:21" s="23" customFormat="1" ht="17.5" customHeight="1" x14ac:dyDescent="0.35">
      <c r="B17" s="48"/>
      <c r="C17" s="28"/>
      <c r="D17" s="29"/>
      <c r="E17" s="28"/>
      <c r="F17" s="29"/>
      <c r="G17" s="30"/>
      <c r="H17" s="29"/>
      <c r="I17" s="30"/>
      <c r="J17" s="29"/>
      <c r="K17" s="30"/>
      <c r="L17" s="29"/>
      <c r="M17" s="30"/>
      <c r="N17" s="29"/>
      <c r="O17" s="30"/>
      <c r="P17" s="29"/>
      <c r="Q17" s="22"/>
    </row>
    <row r="18" spans="2:21" s="23" customFormat="1" ht="17.5" customHeight="1" x14ac:dyDescent="0.35">
      <c r="B18" s="48"/>
      <c r="C18" s="28"/>
      <c r="D18" s="29"/>
      <c r="E18" s="28"/>
      <c r="F18" s="29"/>
      <c r="G18" s="30"/>
      <c r="H18" s="29"/>
      <c r="I18" s="30"/>
      <c r="J18" s="29"/>
      <c r="K18" s="30"/>
      <c r="L18" s="29"/>
      <c r="M18" s="30"/>
      <c r="N18" s="29"/>
      <c r="O18" s="30"/>
      <c r="P18" s="29"/>
      <c r="Q18" s="22"/>
    </row>
    <row r="19" spans="2:21" s="23" customFormat="1" ht="17.5" customHeight="1" x14ac:dyDescent="0.35">
      <c r="B19" s="48"/>
      <c r="C19" s="28"/>
      <c r="D19" s="29"/>
      <c r="E19" s="28"/>
      <c r="F19" s="29"/>
      <c r="G19" s="30"/>
      <c r="H19" s="29"/>
      <c r="I19" s="30"/>
      <c r="J19" s="29"/>
      <c r="K19" s="30"/>
      <c r="L19" s="29"/>
      <c r="M19" s="30"/>
      <c r="N19" s="29"/>
      <c r="O19" s="30"/>
      <c r="P19" s="29"/>
      <c r="Q19" s="22"/>
    </row>
    <row r="20" spans="2:21" s="23" customFormat="1" ht="17.5" customHeight="1" x14ac:dyDescent="0.35">
      <c r="B20" s="49"/>
      <c r="C20" s="31" t="s">
        <v>5</v>
      </c>
      <c r="D20" s="32"/>
      <c r="E20" s="31" t="s">
        <v>5</v>
      </c>
      <c r="F20" s="32"/>
      <c r="G20" s="33" t="s">
        <v>5</v>
      </c>
      <c r="H20" s="32"/>
      <c r="I20" s="33" t="s">
        <v>5</v>
      </c>
      <c r="J20" s="32"/>
      <c r="K20" s="33" t="s">
        <v>5</v>
      </c>
      <c r="L20" s="32"/>
      <c r="M20" s="33" t="s">
        <v>5</v>
      </c>
      <c r="N20" s="32"/>
      <c r="O20" s="33" t="s">
        <v>5</v>
      </c>
      <c r="P20" s="32"/>
      <c r="Q20" s="22"/>
    </row>
    <row r="21" spans="2:21" s="51" customFormat="1" ht="18" customHeight="1" x14ac:dyDescent="0.3">
      <c r="B21" s="52"/>
      <c r="C21" s="55">
        <f>IF(DAY(AprSun1)=1,IF(AND(YEAR(AprSun1+1)=CalendarYear,MONTH(AprSun1+1)=4),AprSun1+1,""),IF(AND(YEAR(AprSun1+8)=CalendarYear,MONTH(AprSun1+8)=4),AprSun1+8,""))</f>
        <v>44291</v>
      </c>
      <c r="D21" s="61" t="s">
        <v>29</v>
      </c>
      <c r="E21" s="55">
        <f>IF(DAY(AprSun1)=1,IF(AND(YEAR(AprSun1+2)=CalendarYear,MONTH(AprSun1+2)=4),AprSun1+2,""),IF(AND(YEAR(AprSun1+9)=CalendarYear,MONTH(AprSun1+9)=4),AprSun1+9,""))</f>
        <v>44292</v>
      </c>
      <c r="F21" s="61" t="s">
        <v>29</v>
      </c>
      <c r="G21" s="56">
        <f>IF(DAY(AprSun1)=1,IF(AND(YEAR(AprSun1+3)=CalendarYear,MONTH(AprSun1+3)=4),AprSun1+3,""),IF(AND(YEAR(AprSun1+10)=CalendarYear,MONTH(AprSun1+10)=4),AprSun1+10,""))</f>
        <v>44293</v>
      </c>
      <c r="H21" s="61" t="s">
        <v>29</v>
      </c>
      <c r="I21" s="56">
        <f>IF(DAY(AprSun1)=1,IF(AND(YEAR(AprSun1+4)=CalendarYear,MONTH(AprSun1+4)=4),AprSun1+4,""),IF(AND(YEAR(AprSun1+11)=CalendarYear,MONTH(AprSun1+11)=4),AprSun1+11,""))</f>
        <v>44294</v>
      </c>
      <c r="J21" s="61" t="s">
        <v>29</v>
      </c>
      <c r="K21" s="56">
        <f>IF(DAY(AprSun1)=1,IF(AND(YEAR(AprSun1+5)=CalendarYear,MONTH(AprSun1+5)=4),AprSun1+5,""),IF(AND(YEAR(AprSun1+12)=CalendarYear,MONTH(AprSun1+12)=4),AprSun1+12,""))</f>
        <v>44295</v>
      </c>
      <c r="L21" s="61" t="s">
        <v>29</v>
      </c>
      <c r="M21" s="56">
        <f>IF(DAY(AprSun1)=1,IF(AND(YEAR(AprSun1+6)=CalendarYear,MONTH(AprSun1+6)=4),AprSun1+6,""),IF(AND(YEAR(AprSun1+13)=CalendarYear,MONTH(AprSun1+13)=4),AprSun1+13,""))</f>
        <v>44296</v>
      </c>
      <c r="N21" s="61" t="s">
        <v>29</v>
      </c>
      <c r="O21" s="56">
        <f>IF(DAY(AprSun1)=1,IF(AND(YEAR(AprSun1+7)=CalendarYear,MONTH(AprSun1+7)=4),AprSun1+7,""),IF(AND(YEAR(AprSun1+14)=CalendarYear,MONTH(AprSun1+14)=4),AprSun1+14,""))</f>
        <v>44297</v>
      </c>
      <c r="P21" s="61" t="s">
        <v>29</v>
      </c>
      <c r="Q21" s="47"/>
      <c r="T21" s="53"/>
      <c r="U21" s="54"/>
    </row>
    <row r="22" spans="2:21" s="23" customFormat="1" ht="17.5" customHeight="1" x14ac:dyDescent="0.45">
      <c r="B22" s="50" t="s">
        <v>1</v>
      </c>
      <c r="C22" s="34"/>
      <c r="D22" s="35"/>
      <c r="E22" s="34"/>
      <c r="F22" s="35"/>
      <c r="G22" s="36"/>
      <c r="H22" s="35"/>
      <c r="I22" s="36"/>
      <c r="J22" s="35"/>
      <c r="K22" s="36"/>
      <c r="L22" s="35"/>
      <c r="M22" s="36"/>
      <c r="N22" s="35"/>
      <c r="O22" s="36"/>
      <c r="P22" s="35"/>
      <c r="Q22" s="22"/>
    </row>
    <row r="23" spans="2:21" s="23" customFormat="1" ht="17.5" customHeight="1" x14ac:dyDescent="0.45">
      <c r="B23" s="50" t="s">
        <v>2</v>
      </c>
      <c r="C23" s="37"/>
      <c r="D23" s="38"/>
      <c r="E23" s="37"/>
      <c r="F23" s="38"/>
      <c r="G23" s="39"/>
      <c r="H23" s="38"/>
      <c r="I23" s="39"/>
      <c r="J23" s="38"/>
      <c r="K23" s="39"/>
      <c r="L23" s="38"/>
      <c r="M23" s="39"/>
      <c r="N23" s="38"/>
      <c r="O23" s="39"/>
      <c r="P23" s="38"/>
      <c r="Q23" s="22"/>
    </row>
    <row r="24" spans="2:21" s="23" customFormat="1" ht="17.5" customHeight="1" x14ac:dyDescent="0.45">
      <c r="B24" s="50" t="s">
        <v>3</v>
      </c>
      <c r="C24" s="37"/>
      <c r="D24" s="38"/>
      <c r="E24" s="37"/>
      <c r="F24" s="38"/>
      <c r="G24" s="39"/>
      <c r="H24" s="38"/>
      <c r="I24" s="39"/>
      <c r="J24" s="38"/>
      <c r="K24" s="39"/>
      <c r="L24" s="38"/>
      <c r="M24" s="39"/>
      <c r="N24" s="38"/>
      <c r="O24" s="39"/>
      <c r="P24" s="38"/>
      <c r="Q24" s="22"/>
    </row>
    <row r="25" spans="2:21" s="23" customFormat="1" ht="17.5" customHeight="1" x14ac:dyDescent="0.45">
      <c r="B25" s="50" t="s">
        <v>4</v>
      </c>
      <c r="C25" s="37"/>
      <c r="D25" s="38"/>
      <c r="E25" s="37"/>
      <c r="F25" s="38"/>
      <c r="G25" s="39"/>
      <c r="H25" s="38"/>
      <c r="I25" s="39"/>
      <c r="J25" s="38"/>
      <c r="K25" s="39"/>
      <c r="L25" s="38"/>
      <c r="M25" s="39"/>
      <c r="N25" s="38"/>
      <c r="O25" s="39"/>
      <c r="P25" s="38"/>
      <c r="Q25" s="22"/>
    </row>
    <row r="26" spans="2:21" s="23" customFormat="1" ht="17.5" customHeight="1" x14ac:dyDescent="0.45">
      <c r="B26" s="50" t="s">
        <v>2</v>
      </c>
      <c r="C26" s="37"/>
      <c r="D26" s="38"/>
      <c r="E26" s="37"/>
      <c r="F26" s="38"/>
      <c r="G26" s="39"/>
      <c r="H26" s="38"/>
      <c r="I26" s="39"/>
      <c r="J26" s="38"/>
      <c r="K26" s="39"/>
      <c r="L26" s="38"/>
      <c r="M26" s="39"/>
      <c r="N26" s="38"/>
      <c r="O26" s="39"/>
      <c r="P26" s="38"/>
      <c r="Q26" s="22"/>
    </row>
    <row r="27" spans="2:21" s="23" customFormat="1" ht="17.5" customHeight="1" x14ac:dyDescent="0.45">
      <c r="B27" s="50"/>
      <c r="C27" s="37"/>
      <c r="D27" s="38"/>
      <c r="E27" s="37"/>
      <c r="F27" s="38"/>
      <c r="G27" s="39"/>
      <c r="H27" s="38"/>
      <c r="I27" s="39"/>
      <c r="J27" s="38"/>
      <c r="K27" s="39"/>
      <c r="L27" s="38"/>
      <c r="M27" s="39"/>
      <c r="N27" s="38"/>
      <c r="O27" s="39"/>
      <c r="P27" s="38"/>
      <c r="Q27" s="22"/>
    </row>
    <row r="28" spans="2:21" s="23" customFormat="1" ht="17.5" customHeight="1" x14ac:dyDescent="0.45">
      <c r="B28" s="50" t="s">
        <v>6</v>
      </c>
      <c r="C28" s="37"/>
      <c r="D28" s="38"/>
      <c r="E28" s="37"/>
      <c r="F28" s="38"/>
      <c r="G28" s="39"/>
      <c r="H28" s="38"/>
      <c r="I28" s="39"/>
      <c r="J28" s="38"/>
      <c r="K28" s="39"/>
      <c r="L28" s="38"/>
      <c r="M28" s="39"/>
      <c r="N28" s="38"/>
      <c r="O28" s="39"/>
      <c r="P28" s="38"/>
      <c r="Q28" s="22"/>
    </row>
    <row r="29" spans="2:21" s="23" customFormat="1" ht="17.5" customHeight="1" x14ac:dyDescent="0.35">
      <c r="B29" s="48"/>
      <c r="C29" s="37"/>
      <c r="D29" s="38"/>
      <c r="E29" s="37"/>
      <c r="F29" s="38"/>
      <c r="G29" s="39"/>
      <c r="H29" s="38"/>
      <c r="I29" s="39"/>
      <c r="J29" s="38"/>
      <c r="K29" s="39"/>
      <c r="L29" s="38"/>
      <c r="M29" s="39"/>
      <c r="N29" s="38"/>
      <c r="O29" s="39"/>
      <c r="P29" s="38"/>
      <c r="Q29" s="22"/>
    </row>
    <row r="30" spans="2:21" s="23" customFormat="1" ht="17.5" customHeight="1" x14ac:dyDescent="0.35">
      <c r="B30" s="48"/>
      <c r="C30" s="37"/>
      <c r="D30" s="38"/>
      <c r="E30" s="37"/>
      <c r="F30" s="38"/>
      <c r="G30" s="39"/>
      <c r="H30" s="38"/>
      <c r="I30" s="39"/>
      <c r="J30" s="38"/>
      <c r="K30" s="39"/>
      <c r="L30" s="38"/>
      <c r="M30" s="39"/>
      <c r="N30" s="38"/>
      <c r="O30" s="39"/>
      <c r="P30" s="38"/>
      <c r="Q30" s="22"/>
    </row>
    <row r="31" spans="2:21" s="23" customFormat="1" ht="17.5" customHeight="1" x14ac:dyDescent="0.35">
      <c r="B31" s="48"/>
      <c r="C31" s="37"/>
      <c r="D31" s="38"/>
      <c r="E31" s="37"/>
      <c r="F31" s="38"/>
      <c r="G31" s="39"/>
      <c r="H31" s="38"/>
      <c r="I31" s="39"/>
      <c r="J31" s="38"/>
      <c r="K31" s="39"/>
      <c r="L31" s="38"/>
      <c r="M31" s="39"/>
      <c r="N31" s="38"/>
      <c r="O31" s="39"/>
      <c r="P31" s="38"/>
      <c r="Q31" s="22"/>
    </row>
    <row r="32" spans="2:21" s="23" customFormat="1" ht="17.5" customHeight="1" x14ac:dyDescent="0.35">
      <c r="B32" s="48"/>
      <c r="C32" s="37"/>
      <c r="D32" s="38"/>
      <c r="E32" s="37"/>
      <c r="F32" s="38"/>
      <c r="G32" s="39"/>
      <c r="H32" s="38"/>
      <c r="I32" s="39"/>
      <c r="J32" s="38"/>
      <c r="K32" s="39"/>
      <c r="L32" s="38"/>
      <c r="M32" s="39"/>
      <c r="N32" s="38"/>
      <c r="O32" s="39"/>
      <c r="P32" s="38"/>
      <c r="Q32" s="22"/>
    </row>
    <row r="33" spans="2:21" s="23" customFormat="1" ht="17.5" customHeight="1" x14ac:dyDescent="0.35">
      <c r="B33" s="49"/>
      <c r="C33" s="40" t="s">
        <v>5</v>
      </c>
      <c r="D33" s="41"/>
      <c r="E33" s="40" t="s">
        <v>5</v>
      </c>
      <c r="F33" s="41"/>
      <c r="G33" s="42" t="s">
        <v>5</v>
      </c>
      <c r="H33" s="41"/>
      <c r="I33" s="42" t="s">
        <v>5</v>
      </c>
      <c r="J33" s="41"/>
      <c r="K33" s="42" t="s">
        <v>5</v>
      </c>
      <c r="L33" s="41"/>
      <c r="M33" s="42" t="s">
        <v>5</v>
      </c>
      <c r="N33" s="41"/>
      <c r="O33" s="42" t="s">
        <v>5</v>
      </c>
      <c r="P33" s="41"/>
      <c r="Q33" s="22"/>
    </row>
    <row r="34" spans="2:21" s="51" customFormat="1" ht="18" customHeight="1" x14ac:dyDescent="0.3">
      <c r="B34" s="52"/>
      <c r="C34" s="55">
        <f>IF(DAY(AprSun1)=1,IF(AND(YEAR(AprSun1+8)=CalendarYear,MONTH(AprSun1+8)=4),AprSun1+8,""),IF(AND(YEAR(AprSun1+15)=CalendarYear,MONTH(AprSun1+15)=4),AprSun1+15,""))</f>
        <v>44298</v>
      </c>
      <c r="D34" s="61" t="s">
        <v>29</v>
      </c>
      <c r="E34" s="55">
        <f>IF(DAY(AprSun1)=1,IF(AND(YEAR(AprSun1+9)=CalendarYear,MONTH(AprSun1+9)=4),AprSun1+9,""),IF(AND(YEAR(AprSun1+16)=CalendarYear,MONTH(AprSun1+16)=4),AprSun1+16,""))</f>
        <v>44299</v>
      </c>
      <c r="F34" s="61" t="s">
        <v>29</v>
      </c>
      <c r="G34" s="56">
        <f>IF(DAY(AprSun1)=1,IF(AND(YEAR(AprSun1+10)=CalendarYear,MONTH(AprSun1+10)=4),AprSun1+10,""),IF(AND(YEAR(AprSun1+17)=CalendarYear,MONTH(AprSun1+17)=4),AprSun1+17,""))</f>
        <v>44300</v>
      </c>
      <c r="H34" s="61" t="s">
        <v>29</v>
      </c>
      <c r="I34" s="56">
        <f>IF(DAY(AprSun1)=1,IF(AND(YEAR(AprSun1+11)=CalendarYear,MONTH(AprSun1+11)=4),AprSun1+11,""),IF(AND(YEAR(AprSun1+18)=CalendarYear,MONTH(AprSun1+18)=4),AprSun1+18,""))</f>
        <v>44301</v>
      </c>
      <c r="J34" s="61" t="s">
        <v>29</v>
      </c>
      <c r="K34" s="56">
        <f>IF(DAY(AprSun1)=1,IF(AND(YEAR(AprSun1+12)=CalendarYear,MONTH(AprSun1+12)=4),AprSun1+12,""),IF(AND(YEAR(AprSun1+19)=CalendarYear,MONTH(AprSun1+19)=4),AprSun1+19,""))</f>
        <v>44302</v>
      </c>
      <c r="L34" s="61" t="s">
        <v>29</v>
      </c>
      <c r="M34" s="56">
        <f>IF(DAY(AprSun1)=1,IF(AND(YEAR(AprSun1+13)=CalendarYear,MONTH(AprSun1+13)=4),AprSun1+13,""),IF(AND(YEAR(AprSun1+20)=CalendarYear,MONTH(AprSun1+20)=4),AprSun1+20,""))</f>
        <v>44303</v>
      </c>
      <c r="N34" s="61" t="s">
        <v>29</v>
      </c>
      <c r="O34" s="56">
        <f>IF(DAY(AprSun1)=1,IF(AND(YEAR(AprSun1+14)=CalendarYear,MONTH(AprSun1+14)=4),AprSun1+14,""),IF(AND(YEAR(AprSun1+21)=CalendarYear,MONTH(AprSun1+21)=4),AprSun1+21,""))</f>
        <v>44304</v>
      </c>
      <c r="P34" s="61" t="s">
        <v>29</v>
      </c>
      <c r="Q34" s="47"/>
      <c r="T34" s="53"/>
      <c r="U34" s="54"/>
    </row>
    <row r="35" spans="2:21" s="23" customFormat="1" ht="17.5" customHeight="1" x14ac:dyDescent="0.45">
      <c r="B35" s="50" t="s">
        <v>1</v>
      </c>
      <c r="C35" s="25"/>
      <c r="D35" s="26"/>
      <c r="E35" s="25"/>
      <c r="F35" s="26"/>
      <c r="G35" s="27"/>
      <c r="H35" s="26"/>
      <c r="I35" s="27"/>
      <c r="J35" s="26"/>
      <c r="K35" s="27"/>
      <c r="L35" s="26"/>
      <c r="M35" s="27"/>
      <c r="N35" s="26"/>
      <c r="O35" s="27"/>
      <c r="P35" s="26"/>
      <c r="Q35" s="22"/>
    </row>
    <row r="36" spans="2:21" s="23" customFormat="1" ht="17.5" customHeight="1" x14ac:dyDescent="0.45">
      <c r="B36" s="50" t="s">
        <v>2</v>
      </c>
      <c r="C36" s="28"/>
      <c r="D36" s="29"/>
      <c r="E36" s="28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22"/>
    </row>
    <row r="37" spans="2:21" s="23" customFormat="1" ht="17.5" customHeight="1" x14ac:dyDescent="0.45">
      <c r="B37" s="50" t="s">
        <v>3</v>
      </c>
      <c r="C37" s="28"/>
      <c r="D37" s="29"/>
      <c r="E37" s="28"/>
      <c r="F37" s="29"/>
      <c r="G37" s="30"/>
      <c r="H37" s="29"/>
      <c r="I37" s="30"/>
      <c r="J37" s="29"/>
      <c r="K37" s="30"/>
      <c r="L37" s="29"/>
      <c r="M37" s="30"/>
      <c r="N37" s="29"/>
      <c r="O37" s="30"/>
      <c r="P37" s="29"/>
      <c r="Q37" s="22"/>
    </row>
    <row r="38" spans="2:21" s="23" customFormat="1" ht="17.5" customHeight="1" x14ac:dyDescent="0.45">
      <c r="B38" s="50" t="s">
        <v>4</v>
      </c>
      <c r="C38" s="28"/>
      <c r="D38" s="29"/>
      <c r="E38" s="28"/>
      <c r="F38" s="29"/>
      <c r="G38" s="30"/>
      <c r="H38" s="29"/>
      <c r="I38" s="30"/>
      <c r="J38" s="29"/>
      <c r="K38" s="30"/>
      <c r="L38" s="29"/>
      <c r="M38" s="30"/>
      <c r="N38" s="29"/>
      <c r="O38" s="30"/>
      <c r="P38" s="29"/>
      <c r="Q38" s="22"/>
    </row>
    <row r="39" spans="2:21" s="23" customFormat="1" ht="17.5" customHeight="1" x14ac:dyDescent="0.45">
      <c r="B39" s="50" t="s">
        <v>2</v>
      </c>
      <c r="C39" s="28"/>
      <c r="D39" s="29"/>
      <c r="E39" s="28"/>
      <c r="F39" s="29"/>
      <c r="G39" s="30"/>
      <c r="H39" s="29"/>
      <c r="I39" s="30"/>
      <c r="J39" s="29"/>
      <c r="K39" s="30"/>
      <c r="L39" s="29"/>
      <c r="M39" s="30"/>
      <c r="N39" s="29"/>
      <c r="O39" s="30"/>
      <c r="P39" s="29"/>
      <c r="Q39" s="22"/>
    </row>
    <row r="40" spans="2:21" s="23" customFormat="1" ht="17.5" customHeight="1" x14ac:dyDescent="0.45">
      <c r="B40" s="50"/>
      <c r="C40" s="28"/>
      <c r="D40" s="29"/>
      <c r="E40" s="28"/>
      <c r="F40" s="29"/>
      <c r="G40" s="30"/>
      <c r="H40" s="29"/>
      <c r="I40" s="30"/>
      <c r="J40" s="29"/>
      <c r="K40" s="30"/>
      <c r="L40" s="29"/>
      <c r="M40" s="30"/>
      <c r="N40" s="29"/>
      <c r="O40" s="30"/>
      <c r="P40" s="29"/>
      <c r="Q40" s="22"/>
    </row>
    <row r="41" spans="2:21" s="23" customFormat="1" ht="17.5" customHeight="1" x14ac:dyDescent="0.45">
      <c r="B41" s="50" t="s">
        <v>6</v>
      </c>
      <c r="C41" s="28"/>
      <c r="D41" s="29"/>
      <c r="E41" s="28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22"/>
    </row>
    <row r="42" spans="2:21" s="23" customFormat="1" ht="17.5" customHeight="1" x14ac:dyDescent="0.35">
      <c r="B42" s="48"/>
      <c r="C42" s="28"/>
      <c r="D42" s="29"/>
      <c r="E42" s="28"/>
      <c r="F42" s="29"/>
      <c r="G42" s="30"/>
      <c r="H42" s="29"/>
      <c r="I42" s="30"/>
      <c r="J42" s="29"/>
      <c r="K42" s="30"/>
      <c r="L42" s="29"/>
      <c r="M42" s="30"/>
      <c r="N42" s="29"/>
      <c r="O42" s="30"/>
      <c r="P42" s="29"/>
      <c r="Q42" s="22"/>
    </row>
    <row r="43" spans="2:21" s="23" customFormat="1" ht="17.5" customHeight="1" x14ac:dyDescent="0.35">
      <c r="B43" s="48"/>
      <c r="C43" s="28"/>
      <c r="D43" s="29"/>
      <c r="E43" s="28"/>
      <c r="F43" s="29"/>
      <c r="G43" s="30"/>
      <c r="H43" s="29"/>
      <c r="I43" s="30"/>
      <c r="J43" s="29"/>
      <c r="K43" s="30"/>
      <c r="L43" s="29"/>
      <c r="M43" s="30"/>
      <c r="N43" s="29"/>
      <c r="O43" s="30"/>
      <c r="P43" s="29"/>
      <c r="Q43" s="22"/>
    </row>
    <row r="44" spans="2:21" s="23" customFormat="1" ht="17.5" customHeight="1" x14ac:dyDescent="0.35">
      <c r="B44" s="48"/>
      <c r="C44" s="28"/>
      <c r="D44" s="29"/>
      <c r="E44" s="28"/>
      <c r="F44" s="29"/>
      <c r="G44" s="30"/>
      <c r="H44" s="29"/>
      <c r="I44" s="30"/>
      <c r="J44" s="29"/>
      <c r="K44" s="30"/>
      <c r="L44" s="29"/>
      <c r="M44" s="30"/>
      <c r="N44" s="29"/>
      <c r="O44" s="30"/>
      <c r="P44" s="29"/>
      <c r="Q44" s="22"/>
    </row>
    <row r="45" spans="2:21" s="23" customFormat="1" ht="17.5" customHeight="1" x14ac:dyDescent="0.35">
      <c r="B45" s="48"/>
      <c r="C45" s="28"/>
      <c r="D45" s="29"/>
      <c r="E45" s="28"/>
      <c r="F45" s="29"/>
      <c r="G45" s="30"/>
      <c r="H45" s="29"/>
      <c r="I45" s="30"/>
      <c r="J45" s="29"/>
      <c r="K45" s="30"/>
      <c r="L45" s="29"/>
      <c r="M45" s="30"/>
      <c r="N45" s="29"/>
      <c r="O45" s="30"/>
      <c r="P45" s="29"/>
      <c r="Q45" s="22"/>
    </row>
    <row r="46" spans="2:21" s="23" customFormat="1" ht="17.5" customHeight="1" x14ac:dyDescent="0.35">
      <c r="B46" s="49"/>
      <c r="C46" s="31" t="s">
        <v>5</v>
      </c>
      <c r="D46" s="32"/>
      <c r="E46" s="31" t="s">
        <v>5</v>
      </c>
      <c r="F46" s="32"/>
      <c r="G46" s="33" t="s">
        <v>5</v>
      </c>
      <c r="H46" s="32"/>
      <c r="I46" s="33" t="s">
        <v>5</v>
      </c>
      <c r="J46" s="32"/>
      <c r="K46" s="33" t="s">
        <v>5</v>
      </c>
      <c r="L46" s="32"/>
      <c r="M46" s="33" t="s">
        <v>5</v>
      </c>
      <c r="N46" s="32"/>
      <c r="O46" s="33" t="s">
        <v>5</v>
      </c>
      <c r="P46" s="32"/>
      <c r="Q46" s="22"/>
    </row>
    <row r="47" spans="2:21" s="51" customFormat="1" ht="18" customHeight="1" x14ac:dyDescent="0.3">
      <c r="B47" s="52"/>
      <c r="C47" s="55">
        <f>IF(DAY(AprSun1)=1,IF(AND(YEAR(AprSun1+15)=CalendarYear,MONTH(AprSun1+15)=4),AprSun1+15,""),IF(AND(YEAR(AprSun1+22)=CalendarYear,MONTH(AprSun1+22)=4),AprSun1+22,""))</f>
        <v>44305</v>
      </c>
      <c r="D47" s="61" t="s">
        <v>29</v>
      </c>
      <c r="E47" s="55">
        <f>IF(DAY(AprSun1)=1,IF(AND(YEAR(AprSun1+16)=CalendarYear,MONTH(AprSun1+16)=4),AprSun1+16,""),IF(AND(YEAR(AprSun1+23)=CalendarYear,MONTH(AprSun1+23)=4),AprSun1+23,""))</f>
        <v>44306</v>
      </c>
      <c r="F47" s="61" t="s">
        <v>29</v>
      </c>
      <c r="G47" s="56">
        <f>IF(DAY(AprSun1)=1,IF(AND(YEAR(AprSun1+17)=CalendarYear,MONTH(AprSun1+17)=4),AprSun1+17,""),IF(AND(YEAR(AprSun1+24)=CalendarYear,MONTH(AprSun1+24)=4),AprSun1+24,""))</f>
        <v>44307</v>
      </c>
      <c r="H47" s="61" t="s">
        <v>29</v>
      </c>
      <c r="I47" s="56">
        <f>IF(DAY(AprSun1)=1,IF(AND(YEAR(AprSun1+18)=CalendarYear,MONTH(AprSun1+18)=4),AprSun1+18,""),IF(AND(YEAR(AprSun1+25)=CalendarYear,MONTH(AprSun1+25)=4),AprSun1+25,""))</f>
        <v>44308</v>
      </c>
      <c r="J47" s="61" t="s">
        <v>29</v>
      </c>
      <c r="K47" s="56">
        <f>IF(DAY(AprSun1)=1,IF(AND(YEAR(AprSun1+19)=CalendarYear,MONTH(AprSun1+19)=4),AprSun1+19,""),IF(AND(YEAR(AprSun1+26)=CalendarYear,MONTH(AprSun1+26)=4),AprSun1+26,""))</f>
        <v>44309</v>
      </c>
      <c r="L47" s="61" t="s">
        <v>29</v>
      </c>
      <c r="M47" s="56">
        <f>IF(DAY(AprSun1)=1,IF(AND(YEAR(AprSun1+20)=CalendarYear,MONTH(AprSun1+20)=4),AprSun1+20,""),IF(AND(YEAR(AprSun1+27)=CalendarYear,MONTH(AprSun1+27)=4),AprSun1+27,""))</f>
        <v>44310</v>
      </c>
      <c r="N47" s="61" t="s">
        <v>29</v>
      </c>
      <c r="O47" s="56">
        <f>IF(DAY(AprSun1)=1,IF(AND(YEAR(AprSun1+21)=CalendarYear,MONTH(AprSun1+21)=4),AprSun1+21,""),IF(AND(YEAR(AprSun1+28)=CalendarYear,MONTH(AprSun1+28)=4),AprSun1+28,""))</f>
        <v>44311</v>
      </c>
      <c r="P47" s="61" t="s">
        <v>29</v>
      </c>
      <c r="Q47" s="47"/>
      <c r="T47" s="53"/>
      <c r="U47" s="54"/>
    </row>
    <row r="48" spans="2:21" s="23" customFormat="1" ht="17.5" customHeight="1" x14ac:dyDescent="0.45">
      <c r="B48" s="50" t="s">
        <v>1</v>
      </c>
      <c r="C48" s="34"/>
      <c r="D48" s="35"/>
      <c r="E48" s="34"/>
      <c r="F48" s="35"/>
      <c r="G48" s="36"/>
      <c r="H48" s="35"/>
      <c r="I48" s="36"/>
      <c r="J48" s="35"/>
      <c r="K48" s="36"/>
      <c r="L48" s="35"/>
      <c r="M48" s="36"/>
      <c r="N48" s="35"/>
      <c r="O48" s="36"/>
      <c r="P48" s="35"/>
      <c r="Q48" s="22"/>
    </row>
    <row r="49" spans="2:21" s="23" customFormat="1" ht="17.5" customHeight="1" x14ac:dyDescent="0.45">
      <c r="B49" s="50" t="s">
        <v>2</v>
      </c>
      <c r="C49" s="37"/>
      <c r="D49" s="38"/>
      <c r="E49" s="37"/>
      <c r="F49" s="38"/>
      <c r="G49" s="39"/>
      <c r="H49" s="38"/>
      <c r="I49" s="39"/>
      <c r="J49" s="38"/>
      <c r="K49" s="39"/>
      <c r="L49" s="38"/>
      <c r="M49" s="39"/>
      <c r="N49" s="38"/>
      <c r="O49" s="39"/>
      <c r="P49" s="38"/>
      <c r="Q49" s="22"/>
    </row>
    <row r="50" spans="2:21" s="23" customFormat="1" ht="17.5" customHeight="1" x14ac:dyDescent="0.45">
      <c r="B50" s="50" t="s">
        <v>3</v>
      </c>
      <c r="C50" s="37"/>
      <c r="D50" s="38"/>
      <c r="E50" s="37"/>
      <c r="F50" s="38"/>
      <c r="G50" s="39"/>
      <c r="H50" s="38"/>
      <c r="I50" s="39"/>
      <c r="J50" s="38"/>
      <c r="K50" s="39"/>
      <c r="L50" s="38"/>
      <c r="M50" s="39"/>
      <c r="N50" s="38"/>
      <c r="O50" s="39"/>
      <c r="P50" s="38"/>
      <c r="Q50" s="22"/>
    </row>
    <row r="51" spans="2:21" s="23" customFormat="1" ht="17.5" customHeight="1" x14ac:dyDescent="0.45">
      <c r="B51" s="50" t="s">
        <v>4</v>
      </c>
      <c r="C51" s="37"/>
      <c r="D51" s="38"/>
      <c r="E51" s="37"/>
      <c r="F51" s="38"/>
      <c r="G51" s="39"/>
      <c r="H51" s="38"/>
      <c r="I51" s="39"/>
      <c r="J51" s="38"/>
      <c r="K51" s="39"/>
      <c r="L51" s="38"/>
      <c r="M51" s="39"/>
      <c r="N51" s="38"/>
      <c r="O51" s="39"/>
      <c r="P51" s="38"/>
      <c r="Q51" s="22"/>
    </row>
    <row r="52" spans="2:21" s="23" customFormat="1" ht="17.5" customHeight="1" x14ac:dyDescent="0.45">
      <c r="B52" s="50" t="s">
        <v>2</v>
      </c>
      <c r="C52" s="37"/>
      <c r="D52" s="38"/>
      <c r="E52" s="37"/>
      <c r="F52" s="38"/>
      <c r="G52" s="39"/>
      <c r="H52" s="38"/>
      <c r="I52" s="39"/>
      <c r="J52" s="38"/>
      <c r="K52" s="39"/>
      <c r="L52" s="38"/>
      <c r="M52" s="39"/>
      <c r="N52" s="38"/>
      <c r="O52" s="39"/>
      <c r="P52" s="38"/>
      <c r="Q52" s="22"/>
    </row>
    <row r="53" spans="2:21" s="23" customFormat="1" ht="17.5" customHeight="1" x14ac:dyDescent="0.45">
      <c r="B53" s="50"/>
      <c r="C53" s="37"/>
      <c r="D53" s="38"/>
      <c r="E53" s="37"/>
      <c r="F53" s="38"/>
      <c r="G53" s="39"/>
      <c r="H53" s="38"/>
      <c r="I53" s="39"/>
      <c r="J53" s="38"/>
      <c r="K53" s="39"/>
      <c r="L53" s="38"/>
      <c r="M53" s="39"/>
      <c r="N53" s="38"/>
      <c r="O53" s="39"/>
      <c r="P53" s="38"/>
      <c r="Q53" s="22"/>
    </row>
    <row r="54" spans="2:21" s="23" customFormat="1" ht="17.5" customHeight="1" x14ac:dyDescent="0.45">
      <c r="B54" s="50" t="s">
        <v>6</v>
      </c>
      <c r="C54" s="37"/>
      <c r="D54" s="38"/>
      <c r="E54" s="37"/>
      <c r="F54" s="38"/>
      <c r="G54" s="39"/>
      <c r="H54" s="38"/>
      <c r="I54" s="39"/>
      <c r="J54" s="38"/>
      <c r="K54" s="39"/>
      <c r="L54" s="38"/>
      <c r="M54" s="39"/>
      <c r="N54" s="38"/>
      <c r="O54" s="39"/>
      <c r="P54" s="38"/>
      <c r="Q54" s="22"/>
    </row>
    <row r="55" spans="2:21" s="23" customFormat="1" ht="17.5" customHeight="1" x14ac:dyDescent="0.35">
      <c r="B55" s="48"/>
      <c r="C55" s="37"/>
      <c r="D55" s="38"/>
      <c r="E55" s="37"/>
      <c r="F55" s="38"/>
      <c r="G55" s="39"/>
      <c r="H55" s="38"/>
      <c r="I55" s="39"/>
      <c r="J55" s="38"/>
      <c r="K55" s="39"/>
      <c r="L55" s="38"/>
      <c r="M55" s="39"/>
      <c r="N55" s="38"/>
      <c r="O55" s="39"/>
      <c r="P55" s="38"/>
      <c r="Q55" s="22"/>
    </row>
    <row r="56" spans="2:21" s="23" customFormat="1" ht="17.5" customHeight="1" x14ac:dyDescent="0.35">
      <c r="B56" s="48"/>
      <c r="C56" s="37"/>
      <c r="D56" s="38"/>
      <c r="E56" s="37"/>
      <c r="F56" s="38"/>
      <c r="G56" s="39"/>
      <c r="H56" s="38"/>
      <c r="I56" s="39"/>
      <c r="J56" s="38"/>
      <c r="K56" s="39"/>
      <c r="L56" s="38"/>
      <c r="M56" s="39"/>
      <c r="N56" s="38"/>
      <c r="O56" s="39"/>
      <c r="P56" s="38"/>
      <c r="Q56" s="22"/>
    </row>
    <row r="57" spans="2:21" s="23" customFormat="1" ht="17.5" customHeight="1" x14ac:dyDescent="0.35">
      <c r="B57" s="48"/>
      <c r="C57" s="37"/>
      <c r="D57" s="38"/>
      <c r="E57" s="37"/>
      <c r="F57" s="38"/>
      <c r="G57" s="39"/>
      <c r="H57" s="38"/>
      <c r="I57" s="39"/>
      <c r="J57" s="38"/>
      <c r="K57" s="39"/>
      <c r="L57" s="38"/>
      <c r="M57" s="39"/>
      <c r="N57" s="38"/>
      <c r="O57" s="39"/>
      <c r="P57" s="38"/>
      <c r="Q57" s="22"/>
    </row>
    <row r="58" spans="2:21" s="23" customFormat="1" ht="17.5" customHeight="1" x14ac:dyDescent="0.35">
      <c r="B58" s="48"/>
      <c r="C58" s="37"/>
      <c r="D58" s="38"/>
      <c r="E58" s="37"/>
      <c r="F58" s="38"/>
      <c r="G58" s="39"/>
      <c r="H58" s="38"/>
      <c r="I58" s="39"/>
      <c r="J58" s="38"/>
      <c r="K58" s="39"/>
      <c r="L58" s="38"/>
      <c r="M58" s="39"/>
      <c r="N58" s="38"/>
      <c r="O58" s="39"/>
      <c r="P58" s="38"/>
      <c r="Q58" s="22"/>
    </row>
    <row r="59" spans="2:21" s="23" customFormat="1" ht="17.5" customHeight="1" x14ac:dyDescent="0.35">
      <c r="B59" s="49"/>
      <c r="C59" s="40" t="s">
        <v>5</v>
      </c>
      <c r="D59" s="41"/>
      <c r="E59" s="40" t="s">
        <v>5</v>
      </c>
      <c r="F59" s="41"/>
      <c r="G59" s="42" t="s">
        <v>5</v>
      </c>
      <c r="H59" s="41"/>
      <c r="I59" s="42" t="s">
        <v>5</v>
      </c>
      <c r="J59" s="41"/>
      <c r="K59" s="42" t="s">
        <v>5</v>
      </c>
      <c r="L59" s="41"/>
      <c r="M59" s="42" t="s">
        <v>5</v>
      </c>
      <c r="N59" s="41"/>
      <c r="O59" s="42" t="s">
        <v>5</v>
      </c>
      <c r="P59" s="41"/>
      <c r="Q59" s="22"/>
    </row>
    <row r="60" spans="2:21" s="51" customFormat="1" ht="18" customHeight="1" x14ac:dyDescent="0.3">
      <c r="B60" s="52"/>
      <c r="C60" s="55">
        <f>IF(DAY(AprSun1)=1,IF(AND(YEAR(AprSun1+22)=CalendarYear,MONTH(AprSun1+22)=4),AprSun1+22,""),IF(AND(YEAR(AprSun1+29)=CalendarYear,MONTH(AprSun1+29)=4),AprSun1+29,""))</f>
        <v>44312</v>
      </c>
      <c r="D60" s="61" t="s">
        <v>29</v>
      </c>
      <c r="E60" s="55">
        <f>IF(DAY(AprSun1)=1,IF(AND(YEAR(AprSun1+23)=CalendarYear,MONTH(AprSun1+23)=4),AprSun1+23,""),IF(AND(YEAR(AprSun1+30)=CalendarYear,MONTH(AprSun1+30)=4),AprSun1+30,""))</f>
        <v>44313</v>
      </c>
      <c r="F60" s="61" t="s">
        <v>29</v>
      </c>
      <c r="G60" s="56">
        <f>IF(DAY(AprSun1)=1,IF(AND(YEAR(AprSun1+24)=CalendarYear,MONTH(AprSun1+24)=4),AprSun1+24,""),IF(AND(YEAR(AprSun1+31)=CalendarYear,MONTH(AprSun1+31)=4),AprSun1+31,""))</f>
        <v>44314</v>
      </c>
      <c r="H60" s="61" t="s">
        <v>29</v>
      </c>
      <c r="I60" s="56">
        <f>IF(DAY(AprSun1)=1,IF(AND(YEAR(AprSun1+25)=CalendarYear,MONTH(AprSun1+25)=4),AprSun1+25,""),IF(AND(YEAR(AprSun1+32)=CalendarYear,MONTH(AprSun1+32)=4),AprSun1+32,""))</f>
        <v>44315</v>
      </c>
      <c r="J60" s="61" t="s">
        <v>29</v>
      </c>
      <c r="K60" s="56">
        <f>IF(DAY(AprSun1)=1,IF(AND(YEAR(AprSun1+26)=CalendarYear,MONTH(AprSun1+26)=4),AprSun1+26,""),IF(AND(YEAR(AprSun1+33)=CalendarYear,MONTH(AprSun1+33)=4),AprSun1+33,""))</f>
        <v>44316</v>
      </c>
      <c r="L60" s="61" t="s">
        <v>29</v>
      </c>
      <c r="M60" s="56" t="str">
        <f>IF(DAY(AprSun1)=1,IF(AND(YEAR(AprSun1+27)=CalendarYear,MONTH(AprSun1+27)=4),AprSun1+27,""),IF(AND(YEAR(AprSun1+34)=CalendarYear,MONTH(AprSun1+34)=4),AprSun1+34,""))</f>
        <v/>
      </c>
      <c r="N60" s="61" t="s">
        <v>29</v>
      </c>
      <c r="O60" s="56" t="str">
        <f>IF(DAY(AprSun1)=1,IF(AND(YEAR(AprSun1+28)=CalendarYear,MONTH(AprSun1+28)=4),AprSun1+28,""),IF(AND(YEAR(AprSun1+35)=CalendarYear,MONTH(AprSun1+35)=4),AprSun1+35,""))</f>
        <v/>
      </c>
      <c r="P60" s="61" t="s">
        <v>29</v>
      </c>
      <c r="Q60" s="47"/>
      <c r="T60" s="53"/>
      <c r="U60" s="54"/>
    </row>
    <row r="61" spans="2:21" s="23" customFormat="1" ht="17.5" customHeight="1" x14ac:dyDescent="0.45">
      <c r="B61" s="50" t="s">
        <v>1</v>
      </c>
      <c r="C61" s="25"/>
      <c r="D61" s="26"/>
      <c r="E61" s="25"/>
      <c r="F61" s="26"/>
      <c r="G61" s="27"/>
      <c r="H61" s="26"/>
      <c r="I61" s="27"/>
      <c r="J61" s="26"/>
      <c r="K61" s="27"/>
      <c r="L61" s="26"/>
      <c r="M61" s="27"/>
      <c r="N61" s="26"/>
      <c r="O61" s="27"/>
      <c r="P61" s="26"/>
      <c r="Q61" s="22"/>
    </row>
    <row r="62" spans="2:21" s="23" customFormat="1" ht="17.5" customHeight="1" x14ac:dyDescent="0.45">
      <c r="B62" s="50" t="s">
        <v>2</v>
      </c>
      <c r="C62" s="28"/>
      <c r="D62" s="29"/>
      <c r="E62" s="28"/>
      <c r="F62" s="29"/>
      <c r="G62" s="30"/>
      <c r="H62" s="29"/>
      <c r="I62" s="30"/>
      <c r="J62" s="29"/>
      <c r="K62" s="30"/>
      <c r="L62" s="29"/>
      <c r="M62" s="30"/>
      <c r="N62" s="29"/>
      <c r="O62" s="30"/>
      <c r="P62" s="29"/>
      <c r="Q62" s="22"/>
    </row>
    <row r="63" spans="2:21" s="23" customFormat="1" ht="17.5" customHeight="1" x14ac:dyDescent="0.45">
      <c r="B63" s="50" t="s">
        <v>3</v>
      </c>
      <c r="C63" s="28"/>
      <c r="D63" s="29"/>
      <c r="E63" s="28"/>
      <c r="F63" s="29"/>
      <c r="G63" s="30"/>
      <c r="H63" s="29"/>
      <c r="I63" s="30"/>
      <c r="J63" s="29"/>
      <c r="K63" s="30"/>
      <c r="L63" s="29"/>
      <c r="M63" s="30"/>
      <c r="N63" s="29"/>
      <c r="O63" s="30"/>
      <c r="P63" s="29"/>
      <c r="Q63" s="22"/>
    </row>
    <row r="64" spans="2:21" s="23" customFormat="1" ht="17.5" customHeight="1" x14ac:dyDescent="0.45">
      <c r="B64" s="50" t="s">
        <v>4</v>
      </c>
      <c r="C64" s="28"/>
      <c r="D64" s="29"/>
      <c r="E64" s="28"/>
      <c r="F64" s="29"/>
      <c r="G64" s="30"/>
      <c r="H64" s="29"/>
      <c r="I64" s="30"/>
      <c r="J64" s="29"/>
      <c r="K64" s="30"/>
      <c r="L64" s="29"/>
      <c r="M64" s="30"/>
      <c r="N64" s="29"/>
      <c r="O64" s="30"/>
      <c r="P64" s="29"/>
      <c r="Q64" s="22"/>
    </row>
    <row r="65" spans="1:21" s="23" customFormat="1" ht="17.5" customHeight="1" x14ac:dyDescent="0.45">
      <c r="B65" s="50" t="s">
        <v>2</v>
      </c>
      <c r="C65" s="28"/>
      <c r="D65" s="29"/>
      <c r="E65" s="28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22"/>
    </row>
    <row r="66" spans="1:21" s="23" customFormat="1" ht="17.5" customHeight="1" x14ac:dyDescent="0.45">
      <c r="B66" s="50"/>
      <c r="C66" s="28"/>
      <c r="D66" s="29"/>
      <c r="E66" s="28"/>
      <c r="F66" s="29"/>
      <c r="G66" s="30"/>
      <c r="H66" s="29"/>
      <c r="I66" s="30"/>
      <c r="J66" s="29"/>
      <c r="K66" s="30"/>
      <c r="L66" s="29"/>
      <c r="M66" s="30"/>
      <c r="N66" s="29"/>
      <c r="O66" s="30"/>
      <c r="P66" s="29"/>
      <c r="Q66" s="22"/>
    </row>
    <row r="67" spans="1:21" s="23" customFormat="1" ht="17.5" customHeight="1" x14ac:dyDescent="0.45">
      <c r="B67" s="50" t="s">
        <v>6</v>
      </c>
      <c r="C67" s="28"/>
      <c r="D67" s="29"/>
      <c r="E67" s="28"/>
      <c r="F67" s="29"/>
      <c r="G67" s="30"/>
      <c r="H67" s="29"/>
      <c r="I67" s="30"/>
      <c r="J67" s="29"/>
      <c r="K67" s="30"/>
      <c r="L67" s="29"/>
      <c r="M67" s="30"/>
      <c r="N67" s="29"/>
      <c r="O67" s="30"/>
      <c r="P67" s="29"/>
      <c r="Q67" s="22"/>
    </row>
    <row r="68" spans="1:21" s="23" customFormat="1" ht="17.5" customHeight="1" x14ac:dyDescent="0.35">
      <c r="B68" s="48"/>
      <c r="C68" s="28"/>
      <c r="D68" s="29"/>
      <c r="E68" s="28"/>
      <c r="F68" s="29"/>
      <c r="G68" s="30"/>
      <c r="H68" s="29"/>
      <c r="I68" s="30"/>
      <c r="J68" s="29"/>
      <c r="K68" s="30"/>
      <c r="L68" s="29"/>
      <c r="M68" s="30"/>
      <c r="N68" s="29"/>
      <c r="O68" s="30"/>
      <c r="P68" s="29"/>
      <c r="Q68" s="22"/>
    </row>
    <row r="69" spans="1:21" s="23" customFormat="1" ht="17.5" customHeight="1" x14ac:dyDescent="0.35">
      <c r="B69" s="48"/>
      <c r="C69" s="28"/>
      <c r="D69" s="29"/>
      <c r="E69" s="28"/>
      <c r="F69" s="29"/>
      <c r="G69" s="30"/>
      <c r="H69" s="29"/>
      <c r="I69" s="30"/>
      <c r="J69" s="29"/>
      <c r="K69" s="30"/>
      <c r="L69" s="29"/>
      <c r="M69" s="30"/>
      <c r="N69" s="29"/>
      <c r="O69" s="30"/>
      <c r="P69" s="29"/>
      <c r="Q69" s="22"/>
    </row>
    <row r="70" spans="1:21" s="23" customFormat="1" ht="17.5" customHeight="1" x14ac:dyDescent="0.35">
      <c r="B70" s="48"/>
      <c r="C70" s="28"/>
      <c r="D70" s="29"/>
      <c r="E70" s="28"/>
      <c r="F70" s="29"/>
      <c r="G70" s="30"/>
      <c r="H70" s="29"/>
      <c r="I70" s="30"/>
      <c r="J70" s="29"/>
      <c r="K70" s="30"/>
      <c r="L70" s="29"/>
      <c r="M70" s="30"/>
      <c r="N70" s="29"/>
      <c r="O70" s="30"/>
      <c r="P70" s="29"/>
      <c r="Q70" s="22"/>
    </row>
    <row r="71" spans="1:21" s="23" customFormat="1" ht="17.5" customHeight="1" x14ac:dyDescent="0.35">
      <c r="B71" s="48"/>
      <c r="C71" s="28"/>
      <c r="D71" s="29"/>
      <c r="E71" s="28"/>
      <c r="F71" s="29"/>
      <c r="G71" s="30"/>
      <c r="H71" s="29"/>
      <c r="I71" s="30"/>
      <c r="J71" s="29"/>
      <c r="K71" s="30"/>
      <c r="L71" s="29"/>
      <c r="M71" s="30"/>
      <c r="N71" s="29"/>
      <c r="O71" s="30"/>
      <c r="P71" s="29"/>
      <c r="Q71" s="22"/>
    </row>
    <row r="72" spans="1:21" s="23" customFormat="1" ht="17.5" customHeight="1" x14ac:dyDescent="0.35">
      <c r="B72" s="49"/>
      <c r="C72" s="31" t="s">
        <v>5</v>
      </c>
      <c r="D72" s="32"/>
      <c r="E72" s="31" t="s">
        <v>5</v>
      </c>
      <c r="F72" s="32"/>
      <c r="G72" s="33" t="s">
        <v>5</v>
      </c>
      <c r="H72" s="32"/>
      <c r="I72" s="33" t="s">
        <v>5</v>
      </c>
      <c r="J72" s="32"/>
      <c r="K72" s="33" t="s">
        <v>5</v>
      </c>
      <c r="L72" s="32"/>
      <c r="M72" s="33" t="s">
        <v>5</v>
      </c>
      <c r="N72" s="32"/>
      <c r="O72" s="33" t="s">
        <v>5</v>
      </c>
      <c r="P72" s="32"/>
      <c r="Q72" s="22"/>
    </row>
    <row r="73" spans="1:21" s="21" customFormat="1" ht="18" customHeight="1" x14ac:dyDescent="0.3">
      <c r="A73" s="51"/>
      <c r="B73" s="52"/>
      <c r="C73" s="55" t="str">
        <f>IF(DAY(AprSun1)=1,IF(AND(YEAR(AprSun1+29)=CalendarYear,MONTH(AprSun1+29)=4),AprSun1+29,""),IF(AND(YEAR(AprSun1+36)=CalendarYear,MONTH(AprSun1+36)=4),AprSun1+36,""))</f>
        <v/>
      </c>
      <c r="D73" s="61" t="s">
        <v>29</v>
      </c>
      <c r="E73" s="55" t="str">
        <f>IF(DAY(AprSun1)=1,IF(AND(YEAR(AprSun1+30)=CalendarYear,MONTH(AprSun1+30)=4),AprSun1+30,""),IF(AND(YEAR(AprSun1+37)=CalendarYear,MONTH(AprSun1+37)=4),AprSun1+37,""))</f>
        <v/>
      </c>
      <c r="F73" s="61" t="s">
        <v>29</v>
      </c>
      <c r="G73" s="56" t="s">
        <v>14</v>
      </c>
      <c r="H73" s="57"/>
      <c r="I73" s="58"/>
      <c r="J73" s="57"/>
      <c r="K73" s="58"/>
      <c r="L73" s="57"/>
      <c r="M73" s="58"/>
      <c r="N73" s="57"/>
      <c r="O73" s="58"/>
      <c r="P73" s="57"/>
      <c r="Q73" s="22"/>
      <c r="T73" s="23"/>
      <c r="U73" s="24"/>
    </row>
    <row r="74" spans="1:21" s="23" customFormat="1" ht="17.5" customHeight="1" x14ac:dyDescent="0.45">
      <c r="B74" s="50" t="s">
        <v>1</v>
      </c>
      <c r="C74" s="34"/>
      <c r="D74" s="35"/>
      <c r="E74" s="34"/>
      <c r="F74" s="35"/>
      <c r="G74" s="163"/>
      <c r="H74" s="164"/>
      <c r="I74" s="164"/>
      <c r="J74" s="164"/>
      <c r="K74" s="164"/>
      <c r="L74" s="164"/>
      <c r="M74" s="164"/>
      <c r="N74" s="164"/>
      <c r="O74" s="164"/>
      <c r="P74" s="165"/>
      <c r="Q74" s="22"/>
    </row>
    <row r="75" spans="1:21" s="23" customFormat="1" ht="17.5" customHeight="1" x14ac:dyDescent="0.45">
      <c r="B75" s="50" t="s">
        <v>2</v>
      </c>
      <c r="C75" s="37"/>
      <c r="D75" s="38"/>
      <c r="E75" s="37"/>
      <c r="F75" s="38"/>
      <c r="G75" s="166"/>
      <c r="H75" s="167"/>
      <c r="I75" s="167"/>
      <c r="J75" s="167"/>
      <c r="K75" s="167"/>
      <c r="L75" s="167"/>
      <c r="M75" s="167"/>
      <c r="N75" s="167"/>
      <c r="O75" s="167"/>
      <c r="P75" s="168"/>
      <c r="Q75" s="22"/>
    </row>
    <row r="76" spans="1:21" s="23" customFormat="1" ht="17.5" customHeight="1" x14ac:dyDescent="0.45">
      <c r="B76" s="50" t="s">
        <v>3</v>
      </c>
      <c r="C76" s="37"/>
      <c r="D76" s="38"/>
      <c r="E76" s="37"/>
      <c r="F76" s="38"/>
      <c r="G76" s="166"/>
      <c r="H76" s="167"/>
      <c r="I76" s="167"/>
      <c r="J76" s="167"/>
      <c r="K76" s="167"/>
      <c r="L76" s="167"/>
      <c r="M76" s="167"/>
      <c r="N76" s="167"/>
      <c r="O76" s="167"/>
      <c r="P76" s="168"/>
      <c r="Q76" s="22"/>
    </row>
    <row r="77" spans="1:21" s="23" customFormat="1" ht="17.5" customHeight="1" x14ac:dyDescent="0.45">
      <c r="B77" s="50" t="s">
        <v>4</v>
      </c>
      <c r="C77" s="37"/>
      <c r="D77" s="38"/>
      <c r="E77" s="37"/>
      <c r="F77" s="38"/>
      <c r="G77" s="166"/>
      <c r="H77" s="167"/>
      <c r="I77" s="167"/>
      <c r="J77" s="167"/>
      <c r="K77" s="167"/>
      <c r="L77" s="167"/>
      <c r="M77" s="167"/>
      <c r="N77" s="167"/>
      <c r="O77" s="167"/>
      <c r="P77" s="168"/>
      <c r="Q77" s="22"/>
    </row>
    <row r="78" spans="1:21" s="23" customFormat="1" ht="17.5" customHeight="1" x14ac:dyDescent="0.45">
      <c r="B78" s="50" t="s">
        <v>2</v>
      </c>
      <c r="C78" s="37"/>
      <c r="D78" s="38"/>
      <c r="E78" s="37"/>
      <c r="F78" s="38"/>
      <c r="G78" s="166"/>
      <c r="H78" s="167"/>
      <c r="I78" s="167"/>
      <c r="J78" s="167"/>
      <c r="K78" s="167"/>
      <c r="L78" s="167"/>
      <c r="M78" s="167"/>
      <c r="N78" s="167"/>
      <c r="O78" s="167"/>
      <c r="P78" s="168"/>
      <c r="Q78" s="22"/>
    </row>
    <row r="79" spans="1:21" s="23" customFormat="1" ht="17.5" customHeight="1" x14ac:dyDescent="0.45">
      <c r="B79" s="50"/>
      <c r="C79" s="37"/>
      <c r="D79" s="38"/>
      <c r="E79" s="37"/>
      <c r="F79" s="38"/>
      <c r="G79" s="166"/>
      <c r="H79" s="167"/>
      <c r="I79" s="167"/>
      <c r="J79" s="167"/>
      <c r="K79" s="167"/>
      <c r="L79" s="167"/>
      <c r="M79" s="167"/>
      <c r="N79" s="167"/>
      <c r="O79" s="167"/>
      <c r="P79" s="168"/>
      <c r="Q79" s="22"/>
    </row>
    <row r="80" spans="1:21" s="23" customFormat="1" ht="17.5" customHeight="1" x14ac:dyDescent="0.45">
      <c r="B80" s="50" t="s">
        <v>6</v>
      </c>
      <c r="C80" s="37"/>
      <c r="D80" s="38"/>
      <c r="E80" s="37"/>
      <c r="F80" s="38"/>
      <c r="G80" s="166"/>
      <c r="H80" s="167"/>
      <c r="I80" s="167"/>
      <c r="J80" s="167"/>
      <c r="K80" s="167"/>
      <c r="L80" s="167"/>
      <c r="M80" s="167"/>
      <c r="N80" s="167"/>
      <c r="O80" s="167"/>
      <c r="P80" s="168"/>
      <c r="Q80" s="22"/>
    </row>
    <row r="81" spans="1:17" s="23" customFormat="1" ht="17.5" customHeight="1" x14ac:dyDescent="0.35">
      <c r="B81" s="48"/>
      <c r="C81" s="37"/>
      <c r="D81" s="38"/>
      <c r="E81" s="37"/>
      <c r="F81" s="38"/>
      <c r="G81" s="166"/>
      <c r="H81" s="167"/>
      <c r="I81" s="167"/>
      <c r="J81" s="167"/>
      <c r="K81" s="167"/>
      <c r="L81" s="167"/>
      <c r="M81" s="167"/>
      <c r="N81" s="167"/>
      <c r="O81" s="167"/>
      <c r="P81" s="168"/>
      <c r="Q81" s="22"/>
    </row>
    <row r="82" spans="1:17" s="23" customFormat="1" ht="17.5" customHeight="1" x14ac:dyDescent="0.35">
      <c r="B82" s="48"/>
      <c r="C82" s="37"/>
      <c r="D82" s="38"/>
      <c r="E82" s="37"/>
      <c r="F82" s="38"/>
      <c r="G82" s="166"/>
      <c r="H82" s="167"/>
      <c r="I82" s="167"/>
      <c r="J82" s="167"/>
      <c r="K82" s="167"/>
      <c r="L82" s="167"/>
      <c r="M82" s="167"/>
      <c r="N82" s="167"/>
      <c r="O82" s="167"/>
      <c r="P82" s="168"/>
      <c r="Q82" s="22"/>
    </row>
    <row r="83" spans="1:17" s="23" customFormat="1" ht="17.5" customHeight="1" x14ac:dyDescent="0.35">
      <c r="B83" s="48"/>
      <c r="C83" s="37"/>
      <c r="D83" s="38"/>
      <c r="E83" s="37"/>
      <c r="F83" s="38"/>
      <c r="G83" s="166"/>
      <c r="H83" s="167"/>
      <c r="I83" s="167"/>
      <c r="J83" s="167"/>
      <c r="K83" s="167"/>
      <c r="L83" s="167"/>
      <c r="M83" s="167"/>
      <c r="N83" s="167"/>
      <c r="O83" s="167"/>
      <c r="P83" s="168"/>
      <c r="Q83" s="22"/>
    </row>
    <row r="84" spans="1:17" s="23" customFormat="1" ht="17.5" customHeight="1" x14ac:dyDescent="0.35">
      <c r="B84" s="48"/>
      <c r="C84" s="37"/>
      <c r="D84" s="38"/>
      <c r="E84" s="37"/>
      <c r="F84" s="38"/>
      <c r="G84" s="166"/>
      <c r="H84" s="167"/>
      <c r="I84" s="167"/>
      <c r="J84" s="167"/>
      <c r="K84" s="167"/>
      <c r="L84" s="167"/>
      <c r="M84" s="167"/>
      <c r="N84" s="167"/>
      <c r="O84" s="167"/>
      <c r="P84" s="168"/>
      <c r="Q84" s="22"/>
    </row>
    <row r="85" spans="1:17" s="23" customFormat="1" ht="17.5" customHeight="1" x14ac:dyDescent="0.35">
      <c r="B85" s="49"/>
      <c r="C85" s="40" t="s">
        <v>5</v>
      </c>
      <c r="D85" s="41"/>
      <c r="E85" s="40" t="s">
        <v>5</v>
      </c>
      <c r="F85" s="41"/>
      <c r="G85" s="169"/>
      <c r="H85" s="170"/>
      <c r="I85" s="170"/>
      <c r="J85" s="170"/>
      <c r="K85" s="170"/>
      <c r="L85" s="170"/>
      <c r="M85" s="170"/>
      <c r="N85" s="170"/>
      <c r="O85" s="170"/>
      <c r="P85" s="171"/>
      <c r="Q85" s="22"/>
    </row>
    <row r="86" spans="1:17" ht="22.75" customHeight="1" x14ac:dyDescent="0.3">
      <c r="B86" s="159" t="s">
        <v>27</v>
      </c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</row>
    <row r="87" spans="1:17" ht="22.75" customHeight="1" x14ac:dyDescent="0.3">
      <c r="A87" s="2"/>
      <c r="B87" s="158" t="s">
        <v>28</v>
      </c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</row>
    <row r="88" spans="1:17" x14ac:dyDescent="0.3">
      <c r="A88" s="2"/>
    </row>
    <row r="89" spans="1:17" x14ac:dyDescent="0.3">
      <c r="A89" s="2"/>
    </row>
    <row r="90" spans="1:17" ht="21" customHeight="1" x14ac:dyDescent="0.3">
      <c r="A90" s="2"/>
      <c r="E90" s="5"/>
      <c r="F90" s="17"/>
      <c r="G90" s="4"/>
      <c r="H90" s="18"/>
      <c r="I90" s="3"/>
      <c r="J90" s="19"/>
    </row>
    <row r="91" spans="1:17" ht="19.5" customHeight="1" x14ac:dyDescent="0.3">
      <c r="A91" s="2"/>
    </row>
    <row r="92" spans="1:17" ht="15" x14ac:dyDescent="0.3">
      <c r="A92"/>
    </row>
    <row r="93" spans="1:17" x14ac:dyDescent="0.3">
      <c r="A93" s="2"/>
    </row>
    <row r="94" spans="1:17" x14ac:dyDescent="0.3">
      <c r="A94" s="2"/>
    </row>
    <row r="95" spans="1:17" x14ac:dyDescent="0.3">
      <c r="A95" s="2"/>
    </row>
    <row r="96" spans="1:17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ht="15" x14ac:dyDescent="0.3">
      <c r="A105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ht="15" x14ac:dyDescent="0.3">
      <c r="A118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ht="15" x14ac:dyDescent="0.3">
      <c r="A131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4" spans="1:1" ht="15" x14ac:dyDescent="0.3">
      <c r="A144"/>
    </row>
    <row r="145" spans="1:1" x14ac:dyDescent="0.3">
      <c r="A145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x14ac:dyDescent="0.3">
      <c r="A150" s="2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ht="15" x14ac:dyDescent="0.3">
      <c r="A163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x14ac:dyDescent="0.3">
      <c r="A174" s="2"/>
    </row>
    <row r="175" spans="1:1" x14ac:dyDescent="0.3">
      <c r="A175" s="2"/>
    </row>
    <row r="176" spans="1:1" ht="15" x14ac:dyDescent="0.3">
      <c r="A176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ht="15" x14ac:dyDescent="0.3">
      <c r="A189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ht="15" x14ac:dyDescent="0.3">
      <c r="A20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x14ac:dyDescent="0.3">
      <c r="A213" s="2"/>
    </row>
    <row r="214" spans="1:1" x14ac:dyDescent="0.3">
      <c r="A214" s="2"/>
    </row>
    <row r="215" spans="1:1" ht="15" x14ac:dyDescent="0.3">
      <c r="A215"/>
    </row>
    <row r="216" spans="1:1" x14ac:dyDescent="0.3">
      <c r="A216" s="2"/>
    </row>
    <row r="217" spans="1:1" x14ac:dyDescent="0.3">
      <c r="A217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x14ac:dyDescent="0.3">
      <c r="A225" s="2"/>
    </row>
    <row r="226" spans="1:1" x14ac:dyDescent="0.3">
      <c r="A226" s="2"/>
    </row>
    <row r="227" spans="1:1" x14ac:dyDescent="0.3">
      <c r="A227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ht="15" x14ac:dyDescent="0.3">
      <c r="A238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ht="15" x14ac:dyDescent="0.3">
      <c r="A251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ht="15" x14ac:dyDescent="0.3">
      <c r="A264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  <row r="269" spans="1:1" x14ac:dyDescent="0.3">
      <c r="A269" s="2"/>
    </row>
    <row r="270" spans="1:1" x14ac:dyDescent="0.3">
      <c r="A270" s="2"/>
    </row>
    <row r="271" spans="1:1" x14ac:dyDescent="0.3">
      <c r="A271" s="2"/>
    </row>
    <row r="272" spans="1:1" x14ac:dyDescent="0.3">
      <c r="A272" s="2"/>
    </row>
    <row r="273" spans="1:1" x14ac:dyDescent="0.3">
      <c r="A273" s="2"/>
    </row>
    <row r="274" spans="1:1" x14ac:dyDescent="0.3">
      <c r="A274" s="2"/>
    </row>
    <row r="275" spans="1:1" x14ac:dyDescent="0.3">
      <c r="A275" s="2"/>
    </row>
    <row r="276" spans="1:1" x14ac:dyDescent="0.3">
      <c r="A276" s="2"/>
    </row>
    <row r="277" spans="1:1" ht="15" x14ac:dyDescent="0.3">
      <c r="A277"/>
    </row>
    <row r="278" spans="1:1" x14ac:dyDescent="0.3">
      <c r="A278" s="2"/>
    </row>
    <row r="279" spans="1:1" x14ac:dyDescent="0.3">
      <c r="A279" s="2"/>
    </row>
    <row r="280" spans="1:1" x14ac:dyDescent="0.3">
      <c r="A280" s="2"/>
    </row>
    <row r="281" spans="1:1" x14ac:dyDescent="0.3">
      <c r="A281" s="2"/>
    </row>
    <row r="282" spans="1:1" x14ac:dyDescent="0.3">
      <c r="A282" s="2"/>
    </row>
    <row r="283" spans="1:1" x14ac:dyDescent="0.3">
      <c r="A283" s="2"/>
    </row>
    <row r="284" spans="1:1" x14ac:dyDescent="0.3">
      <c r="A284" s="2"/>
    </row>
    <row r="285" spans="1:1" x14ac:dyDescent="0.3">
      <c r="A285" s="2"/>
    </row>
    <row r="286" spans="1:1" x14ac:dyDescent="0.3">
      <c r="A286" s="2"/>
    </row>
    <row r="287" spans="1:1" x14ac:dyDescent="0.3">
      <c r="A287" s="2"/>
    </row>
    <row r="288" spans="1:1" x14ac:dyDescent="0.3">
      <c r="A288" s="2"/>
    </row>
    <row r="289" spans="1:1" x14ac:dyDescent="0.3">
      <c r="A289" s="2"/>
    </row>
    <row r="290" spans="1:1" ht="15" x14ac:dyDescent="0.3">
      <c r="A290"/>
    </row>
    <row r="291" spans="1:1" x14ac:dyDescent="0.3">
      <c r="A291" s="2"/>
    </row>
    <row r="292" spans="1:1" x14ac:dyDescent="0.3">
      <c r="A292" s="2"/>
    </row>
    <row r="293" spans="1:1" x14ac:dyDescent="0.3">
      <c r="A293" s="2"/>
    </row>
    <row r="294" spans="1:1" x14ac:dyDescent="0.3">
      <c r="A294" s="2"/>
    </row>
    <row r="295" spans="1:1" x14ac:dyDescent="0.3">
      <c r="A295" s="2"/>
    </row>
    <row r="296" spans="1:1" x14ac:dyDescent="0.3">
      <c r="A296" s="2"/>
    </row>
    <row r="297" spans="1:1" x14ac:dyDescent="0.3">
      <c r="A297" s="2"/>
    </row>
    <row r="298" spans="1:1" x14ac:dyDescent="0.3">
      <c r="A298" s="2"/>
    </row>
    <row r="299" spans="1:1" x14ac:dyDescent="0.3">
      <c r="A299" s="2"/>
    </row>
    <row r="300" spans="1:1" x14ac:dyDescent="0.3">
      <c r="A300" s="2"/>
    </row>
    <row r="301" spans="1:1" x14ac:dyDescent="0.3">
      <c r="A301" s="2"/>
    </row>
    <row r="302" spans="1:1" x14ac:dyDescent="0.3">
      <c r="A302" s="2"/>
    </row>
  </sheetData>
  <mergeCells count="7">
    <mergeCell ref="B87:P87"/>
    <mergeCell ref="BK4:BN5"/>
    <mergeCell ref="CB6:CC6"/>
    <mergeCell ref="G74:P85"/>
    <mergeCell ref="B4:C5"/>
    <mergeCell ref="G6:H6"/>
    <mergeCell ref="B86:P86"/>
  </mergeCells>
  <printOptions horizontalCentered="1" verticalCentered="1"/>
  <pageMargins left="0.2" right="0.2" top="0.25" bottom="0.25" header="0" footer="0"/>
  <pageSetup scale="34" orientation="landscape" r:id="rId1"/>
  <headerFooter scaleWithDoc="0"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0" tint="-4.9989318521683403E-2"/>
    <pageSetUpPr fitToPage="1"/>
  </sheetPr>
  <dimension ref="A1:CJ302"/>
  <sheetViews>
    <sheetView showGridLines="0" zoomScale="50" zoomScaleNormal="50" workbookViewId="0">
      <selection activeCell="C9" sqref="C9"/>
    </sheetView>
  </sheetViews>
  <sheetFormatPr defaultColWidth="6.69140625" defaultRowHeight="14" x14ac:dyDescent="0.3"/>
  <cols>
    <col min="1" max="1" width="5.53515625" style="1" customWidth="1"/>
    <col min="2" max="2" width="18.07421875" style="1" bestFit="1" customWidth="1"/>
    <col min="3" max="3" width="24.23046875" style="1" customWidth="1"/>
    <col min="4" max="4" width="7.4609375" style="14" customWidth="1"/>
    <col min="5" max="5" width="24.23046875" style="1" customWidth="1"/>
    <col min="6" max="6" width="7.4609375" style="14" customWidth="1"/>
    <col min="7" max="7" width="24.23046875" style="1" customWidth="1"/>
    <col min="8" max="8" width="7.4609375" style="14" customWidth="1"/>
    <col min="9" max="9" width="24.23046875" style="1" customWidth="1"/>
    <col min="10" max="10" width="7.4609375" style="14" customWidth="1"/>
    <col min="11" max="11" width="24.23046875" style="1" customWidth="1"/>
    <col min="12" max="12" width="7.4609375" style="14" customWidth="1"/>
    <col min="13" max="13" width="24.23046875" style="1" customWidth="1"/>
    <col min="14" max="14" width="7.4609375" style="14" customWidth="1"/>
    <col min="15" max="15" width="24.23046875" style="1" customWidth="1"/>
    <col min="16" max="16" width="7.4609375" style="14" customWidth="1"/>
    <col min="17" max="17" width="13.3046875" style="1" customWidth="1"/>
    <col min="18" max="18" width="31.3046875" style="1" customWidth="1"/>
    <col min="19" max="19" width="11.84375" style="1" customWidth="1"/>
    <col min="20" max="20" width="11.3046875" style="1" customWidth="1"/>
    <col min="21" max="16384" width="6.69140625" style="1"/>
  </cols>
  <sheetData>
    <row r="1" spans="1:88" ht="49.75" customHeight="1" x14ac:dyDescent="0.3">
      <c r="R1" s="46"/>
      <c r="S1" s="46"/>
    </row>
    <row r="2" spans="1:88" ht="13.75" customHeight="1" x14ac:dyDescent="0.3">
      <c r="R2" s="46"/>
      <c r="S2" s="46"/>
    </row>
    <row r="3" spans="1:88" ht="19.399999999999999" customHeight="1" x14ac:dyDescent="0.3">
      <c r="B3" s="9"/>
      <c r="R3" s="46"/>
      <c r="S3" s="46"/>
      <c r="BB3" s="9"/>
      <c r="BC3" s="9"/>
      <c r="BD3" s="9"/>
    </row>
    <row r="4" spans="1:88" ht="43.75" customHeight="1" x14ac:dyDescent="0.65">
      <c r="B4" s="172"/>
      <c r="C4" s="172"/>
      <c r="R4" s="46"/>
      <c r="S4" s="46"/>
      <c r="BB4" s="9"/>
      <c r="BC4" s="9"/>
      <c r="BD4" s="9"/>
      <c r="BK4" s="160"/>
      <c r="BL4" s="160"/>
      <c r="BM4" s="160"/>
      <c r="BN4" s="160"/>
      <c r="CG4" s="11"/>
      <c r="CH4" s="13"/>
      <c r="CI4" s="11"/>
    </row>
    <row r="5" spans="1:88" ht="30" customHeight="1" x14ac:dyDescent="0.65">
      <c r="B5" s="172"/>
      <c r="C5" s="172"/>
      <c r="D5" s="15"/>
      <c r="F5" s="15"/>
      <c r="H5" s="15"/>
      <c r="I5" s="9"/>
      <c r="J5" s="15"/>
      <c r="K5" s="9"/>
      <c r="L5" s="15"/>
      <c r="M5" s="9"/>
      <c r="N5" s="15"/>
      <c r="O5" s="9"/>
      <c r="P5" s="15"/>
      <c r="R5" s="44"/>
      <c r="S5" s="44"/>
      <c r="BB5" s="9"/>
      <c r="BC5" s="9"/>
      <c r="BD5" s="9"/>
      <c r="BH5" s="9"/>
      <c r="BI5" s="9"/>
      <c r="BJ5" s="9"/>
      <c r="BK5" s="160"/>
      <c r="BL5" s="160"/>
      <c r="BM5" s="160"/>
      <c r="BN5" s="160"/>
      <c r="BO5" s="9"/>
      <c r="BP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12"/>
      <c r="CH5" s="12"/>
      <c r="CI5" s="12"/>
      <c r="CJ5" s="9"/>
    </row>
    <row r="6" spans="1:88" ht="48.65" customHeight="1" x14ac:dyDescent="0.65">
      <c r="F6" s="16"/>
      <c r="G6" s="173" t="s">
        <v>18</v>
      </c>
      <c r="H6" s="173"/>
      <c r="I6" s="59" t="str">
        <f>UPPER(TEXT(DATE(CalendarYear,1,1)," yyyy"))</f>
        <v xml:space="preserve"> 2021</v>
      </c>
      <c r="J6" s="16"/>
      <c r="K6" s="7"/>
      <c r="L6" s="16"/>
      <c r="N6" s="16"/>
      <c r="R6" s="43"/>
      <c r="S6" s="43"/>
      <c r="BO6" s="7"/>
      <c r="BP6" s="8"/>
      <c r="BR6" s="7"/>
      <c r="BS6" s="8"/>
      <c r="BT6" s="7"/>
      <c r="BU6" s="7"/>
      <c r="BV6" s="8"/>
      <c r="BW6" s="7"/>
      <c r="BX6" s="7"/>
      <c r="BY6" s="8"/>
      <c r="CA6" s="7"/>
      <c r="CB6" s="161"/>
      <c r="CC6" s="161"/>
      <c r="CD6" s="10"/>
      <c r="CE6" s="8"/>
      <c r="CG6" s="11"/>
      <c r="CH6" s="11"/>
      <c r="CI6" s="11"/>
    </row>
    <row r="7" spans="1:88" customFormat="1" ht="26.25" customHeight="1" x14ac:dyDescent="0.3">
      <c r="A7" s="1"/>
      <c r="B7" s="20"/>
      <c r="C7" s="60" t="s">
        <v>7</v>
      </c>
      <c r="D7" s="60"/>
      <c r="E7" s="60" t="s">
        <v>8</v>
      </c>
      <c r="F7" s="60"/>
      <c r="G7" s="60" t="s">
        <v>9</v>
      </c>
      <c r="H7" s="60"/>
      <c r="I7" s="60" t="s">
        <v>10</v>
      </c>
      <c r="J7" s="60"/>
      <c r="K7" s="60" t="s">
        <v>11</v>
      </c>
      <c r="L7" s="60"/>
      <c r="M7" s="60" t="s">
        <v>12</v>
      </c>
      <c r="N7" s="60"/>
      <c r="O7" s="60" t="s">
        <v>13</v>
      </c>
      <c r="P7" s="45"/>
      <c r="Q7" s="1"/>
      <c r="S7" s="1"/>
      <c r="T7" s="6"/>
      <c r="X7" s="1"/>
      <c r="Y7" s="1"/>
    </row>
    <row r="8" spans="1:88" s="51" customFormat="1" ht="18" customHeight="1" x14ac:dyDescent="0.3">
      <c r="B8" s="52"/>
      <c r="C8" s="55" t="str">
        <f>IF(DAY(MaySun1)=1,"",IF(AND(YEAR(MaySun1+1)=CalendarYear,MONTH(MaySun1+1)=5),MaySun1+1,""))</f>
        <v/>
      </c>
      <c r="D8" s="61" t="s">
        <v>29</v>
      </c>
      <c r="E8" s="55" t="str">
        <f>IF(DAY(MaySun1)=1,"",IF(AND(YEAR(MaySun1+2)=CalendarYear,MONTH(MaySun1+2)=5),MaySun1+2,""))</f>
        <v/>
      </c>
      <c r="F8" s="61" t="s">
        <v>29</v>
      </c>
      <c r="G8" s="56" t="str">
        <f>IF(DAY(MaySun1)=1,"",IF(AND(YEAR(MaySun1+3)=CalendarYear,MONTH(MaySun1+3)=5),MaySun1+3,""))</f>
        <v/>
      </c>
      <c r="H8" s="61" t="s">
        <v>29</v>
      </c>
      <c r="I8" s="56" t="str">
        <f>IF(DAY(MaySun1)=1,"",IF(AND(YEAR(MaySun1+4)=CalendarYear,MONTH(MaySun1+4)=5),MaySun1+4,""))</f>
        <v/>
      </c>
      <c r="J8" s="61" t="s">
        <v>29</v>
      </c>
      <c r="K8" s="56" t="str">
        <f>IF(DAY(MaySun1)=1,"",IF(AND(YEAR(MaySun1+5)=CalendarYear,MONTH(MaySun1+5)=5),MaySun1+5,""))</f>
        <v/>
      </c>
      <c r="L8" s="61" t="s">
        <v>29</v>
      </c>
      <c r="M8" s="56">
        <f>IF(DAY(MaySun1)=1,"",IF(AND(YEAR(MaySun1+6)=CalendarYear,MONTH(MaySun1+6)=5),MaySun1+6,""))</f>
        <v>44317</v>
      </c>
      <c r="N8" s="61" t="s">
        <v>29</v>
      </c>
      <c r="O8" s="56">
        <f>IF(DAY(MaySun1)=1,IF(AND(YEAR(MaySun1)=CalendarYear,MONTH(MaySun1)=5),MaySun1,""),IF(AND(YEAR(MaySun1+7)=CalendarYear,MONTH(MaySun1+7)=5),MaySun1+7,""))</f>
        <v>44318</v>
      </c>
      <c r="P8" s="61" t="s">
        <v>29</v>
      </c>
      <c r="Q8" s="47"/>
      <c r="T8" s="53"/>
      <c r="U8" s="54"/>
    </row>
    <row r="9" spans="1:88" s="23" customFormat="1" ht="17.5" customHeight="1" x14ac:dyDescent="0.45">
      <c r="B9" s="50" t="s">
        <v>1</v>
      </c>
      <c r="C9" s="25"/>
      <c r="D9" s="26"/>
      <c r="E9" s="25"/>
      <c r="F9" s="26"/>
      <c r="G9" s="27"/>
      <c r="H9" s="26"/>
      <c r="I9" s="27"/>
      <c r="J9" s="26"/>
      <c r="K9" s="27"/>
      <c r="L9" s="26"/>
      <c r="M9" s="27"/>
      <c r="N9" s="26"/>
      <c r="O9" s="27"/>
      <c r="P9" s="26"/>
      <c r="Q9" s="22"/>
    </row>
    <row r="10" spans="1:88" s="23" customFormat="1" ht="17.5" customHeight="1" x14ac:dyDescent="0.45">
      <c r="B10" s="50" t="s">
        <v>2</v>
      </c>
      <c r="C10" s="28"/>
      <c r="D10" s="29"/>
      <c r="E10" s="28"/>
      <c r="F10" s="29"/>
      <c r="G10" s="30"/>
      <c r="H10" s="29"/>
      <c r="I10" s="30"/>
      <c r="J10" s="29"/>
      <c r="K10" s="30"/>
      <c r="L10" s="29"/>
      <c r="M10" s="30"/>
      <c r="N10" s="29"/>
      <c r="O10" s="30"/>
      <c r="P10" s="29"/>
      <c r="Q10" s="22"/>
    </row>
    <row r="11" spans="1:88" s="23" customFormat="1" ht="17.5" customHeight="1" x14ac:dyDescent="0.45">
      <c r="B11" s="50" t="s">
        <v>3</v>
      </c>
      <c r="C11" s="28"/>
      <c r="D11" s="29"/>
      <c r="E11" s="28"/>
      <c r="F11" s="29"/>
      <c r="G11" s="30"/>
      <c r="H11" s="29"/>
      <c r="I11" s="30"/>
      <c r="J11" s="29"/>
      <c r="K11" s="30"/>
      <c r="L11" s="29"/>
      <c r="M11" s="30"/>
      <c r="N11" s="29"/>
      <c r="O11" s="30"/>
      <c r="P11" s="29"/>
      <c r="Q11" s="22"/>
    </row>
    <row r="12" spans="1:88" s="23" customFormat="1" ht="17.5" customHeight="1" x14ac:dyDescent="0.45">
      <c r="B12" s="50" t="s">
        <v>4</v>
      </c>
      <c r="C12" s="28"/>
      <c r="D12" s="29"/>
      <c r="E12" s="28"/>
      <c r="F12" s="29"/>
      <c r="G12" s="30"/>
      <c r="H12" s="29"/>
      <c r="I12" s="30"/>
      <c r="J12" s="29"/>
      <c r="K12" s="30"/>
      <c r="L12" s="29"/>
      <c r="M12" s="30"/>
      <c r="N12" s="29"/>
      <c r="O12" s="30"/>
      <c r="P12" s="29"/>
      <c r="Q12" s="22"/>
    </row>
    <row r="13" spans="1:88" s="23" customFormat="1" ht="17.5" customHeight="1" x14ac:dyDescent="0.45">
      <c r="B13" s="50" t="s">
        <v>2</v>
      </c>
      <c r="C13" s="28"/>
      <c r="D13" s="29"/>
      <c r="E13" s="28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22"/>
    </row>
    <row r="14" spans="1:88" s="23" customFormat="1" ht="17.5" customHeight="1" x14ac:dyDescent="0.45">
      <c r="B14" s="50"/>
      <c r="C14" s="28"/>
      <c r="D14" s="29"/>
      <c r="E14" s="28"/>
      <c r="F14" s="29"/>
      <c r="G14" s="30"/>
      <c r="H14" s="29"/>
      <c r="I14" s="30"/>
      <c r="J14" s="29"/>
      <c r="K14" s="30"/>
      <c r="L14" s="29"/>
      <c r="M14" s="30"/>
      <c r="N14" s="29"/>
      <c r="O14" s="30"/>
      <c r="P14" s="29"/>
      <c r="Q14" s="22"/>
    </row>
    <row r="15" spans="1:88" s="23" customFormat="1" ht="17.5" customHeight="1" x14ac:dyDescent="0.45">
      <c r="B15" s="50" t="s">
        <v>6</v>
      </c>
      <c r="C15" s="28"/>
      <c r="D15" s="29"/>
      <c r="E15" s="28"/>
      <c r="F15" s="29"/>
      <c r="G15" s="30"/>
      <c r="H15" s="29"/>
      <c r="I15" s="30"/>
      <c r="J15" s="29"/>
      <c r="K15" s="30"/>
      <c r="L15" s="29"/>
      <c r="M15" s="30"/>
      <c r="N15" s="29"/>
      <c r="O15" s="30"/>
      <c r="P15" s="29"/>
      <c r="Q15" s="22"/>
    </row>
    <row r="16" spans="1:88" s="23" customFormat="1" ht="17.5" customHeight="1" x14ac:dyDescent="0.45">
      <c r="B16" s="50"/>
      <c r="C16" s="28"/>
      <c r="D16" s="29"/>
      <c r="E16" s="28"/>
      <c r="F16" s="29"/>
      <c r="G16" s="30"/>
      <c r="H16" s="29"/>
      <c r="I16" s="30"/>
      <c r="J16" s="29"/>
      <c r="K16" s="30"/>
      <c r="L16" s="29"/>
      <c r="M16" s="30"/>
      <c r="N16" s="29"/>
      <c r="O16" s="30"/>
      <c r="P16" s="29"/>
      <c r="Q16" s="22"/>
    </row>
    <row r="17" spans="2:21" s="23" customFormat="1" ht="17.5" customHeight="1" x14ac:dyDescent="0.35">
      <c r="B17" s="48"/>
      <c r="C17" s="28"/>
      <c r="D17" s="29"/>
      <c r="E17" s="28"/>
      <c r="F17" s="29"/>
      <c r="G17" s="30"/>
      <c r="H17" s="29"/>
      <c r="I17" s="30"/>
      <c r="J17" s="29"/>
      <c r="K17" s="30"/>
      <c r="L17" s="29"/>
      <c r="M17" s="30"/>
      <c r="N17" s="29"/>
      <c r="O17" s="30"/>
      <c r="P17" s="29"/>
      <c r="Q17" s="22"/>
    </row>
    <row r="18" spans="2:21" s="23" customFormat="1" ht="17.5" customHeight="1" x14ac:dyDescent="0.35">
      <c r="B18" s="48"/>
      <c r="C18" s="28"/>
      <c r="D18" s="29"/>
      <c r="E18" s="28"/>
      <c r="F18" s="29"/>
      <c r="G18" s="30"/>
      <c r="H18" s="29"/>
      <c r="I18" s="30"/>
      <c r="J18" s="29"/>
      <c r="K18" s="30"/>
      <c r="L18" s="29"/>
      <c r="M18" s="30"/>
      <c r="N18" s="29"/>
      <c r="O18" s="30"/>
      <c r="P18" s="29"/>
      <c r="Q18" s="22"/>
    </row>
    <row r="19" spans="2:21" s="23" customFormat="1" ht="17.5" customHeight="1" x14ac:dyDescent="0.35">
      <c r="B19" s="48"/>
      <c r="C19" s="28"/>
      <c r="D19" s="29"/>
      <c r="E19" s="28"/>
      <c r="F19" s="29"/>
      <c r="G19" s="30"/>
      <c r="H19" s="29"/>
      <c r="I19" s="30"/>
      <c r="J19" s="29"/>
      <c r="K19" s="30"/>
      <c r="L19" s="29"/>
      <c r="M19" s="30"/>
      <c r="N19" s="29"/>
      <c r="O19" s="30"/>
      <c r="P19" s="29"/>
      <c r="Q19" s="22"/>
    </row>
    <row r="20" spans="2:21" s="23" customFormat="1" ht="17.5" customHeight="1" x14ac:dyDescent="0.35">
      <c r="B20" s="49"/>
      <c r="C20" s="31" t="s">
        <v>5</v>
      </c>
      <c r="D20" s="32"/>
      <c r="E20" s="31" t="s">
        <v>5</v>
      </c>
      <c r="F20" s="32"/>
      <c r="G20" s="33" t="s">
        <v>5</v>
      </c>
      <c r="H20" s="32"/>
      <c r="I20" s="33" t="s">
        <v>5</v>
      </c>
      <c r="J20" s="32"/>
      <c r="K20" s="33" t="s">
        <v>5</v>
      </c>
      <c r="L20" s="32"/>
      <c r="M20" s="33" t="s">
        <v>5</v>
      </c>
      <c r="N20" s="32"/>
      <c r="O20" s="33" t="s">
        <v>5</v>
      </c>
      <c r="P20" s="32"/>
      <c r="Q20" s="22"/>
    </row>
    <row r="21" spans="2:21" s="51" customFormat="1" ht="18" customHeight="1" x14ac:dyDescent="0.3">
      <c r="B21" s="52"/>
      <c r="C21" s="55">
        <f>IF(DAY(MaySun1)=1,IF(AND(YEAR(MaySun1+1)=CalendarYear,MONTH(MaySun1+1)=5),MaySun1+1,""),IF(AND(YEAR(MaySun1+8)=CalendarYear,MONTH(MaySun1+8)=5),MaySun1+8,""))</f>
        <v>44319</v>
      </c>
      <c r="D21" s="61" t="s">
        <v>29</v>
      </c>
      <c r="E21" s="55">
        <f>IF(DAY(MaySun1)=1,IF(AND(YEAR(MaySun1+2)=CalendarYear,MONTH(MaySun1+2)=5),MaySun1+2,""),IF(AND(YEAR(MaySun1+9)=CalendarYear,MONTH(MaySun1+9)=5),MaySun1+9,""))</f>
        <v>44320</v>
      </c>
      <c r="F21" s="61" t="s">
        <v>29</v>
      </c>
      <c r="G21" s="56">
        <f>IF(DAY(MaySun1)=1,IF(AND(YEAR(MaySun1+3)=CalendarYear,MONTH(MaySun1+3)=5),MaySun1+3,""),IF(AND(YEAR(MaySun1+10)=CalendarYear,MONTH(MaySun1+10)=5),MaySun1+10,""))</f>
        <v>44321</v>
      </c>
      <c r="H21" s="61" t="s">
        <v>29</v>
      </c>
      <c r="I21" s="56">
        <f>IF(DAY(MaySun1)=1,IF(AND(YEAR(MaySun1+4)=CalendarYear,MONTH(MaySun1+4)=5),MaySun1+4,""),IF(AND(YEAR(MaySun1+11)=CalendarYear,MONTH(MaySun1+11)=5),MaySun1+11,""))</f>
        <v>44322</v>
      </c>
      <c r="J21" s="61" t="s">
        <v>29</v>
      </c>
      <c r="K21" s="56">
        <f>IF(DAY(MaySun1)=1,IF(AND(YEAR(MaySun1+5)=CalendarYear,MONTH(MaySun1+5)=5),MaySun1+5,""),IF(AND(YEAR(MaySun1+12)=CalendarYear,MONTH(MaySun1+12)=5),MaySun1+12,""))</f>
        <v>44323</v>
      </c>
      <c r="L21" s="61" t="s">
        <v>29</v>
      </c>
      <c r="M21" s="56">
        <f>IF(DAY(MaySun1)=1,IF(AND(YEAR(MaySun1+6)=CalendarYear,MONTH(MaySun1+6)=5),MaySun1+6,""),IF(AND(YEAR(MaySun1+13)=CalendarYear,MONTH(MaySun1+13)=5),MaySun1+13,""))</f>
        <v>44324</v>
      </c>
      <c r="N21" s="61" t="s">
        <v>29</v>
      </c>
      <c r="O21" s="56">
        <f>IF(DAY(MaySun1)=1,IF(AND(YEAR(MaySun1+7)=CalendarYear,MONTH(MaySun1+7)=5),MaySun1+7,""),IF(AND(YEAR(MaySun1+14)=CalendarYear,MONTH(MaySun1+14)=5),MaySun1+14,""))</f>
        <v>44325</v>
      </c>
      <c r="P21" s="61" t="s">
        <v>29</v>
      </c>
      <c r="Q21" s="47"/>
      <c r="T21" s="53"/>
      <c r="U21" s="54"/>
    </row>
    <row r="22" spans="2:21" s="23" customFormat="1" ht="17.5" customHeight="1" x14ac:dyDescent="0.45">
      <c r="B22" s="50" t="s">
        <v>1</v>
      </c>
      <c r="C22" s="34"/>
      <c r="D22" s="35"/>
      <c r="E22" s="34"/>
      <c r="F22" s="35"/>
      <c r="G22" s="36"/>
      <c r="H22" s="35"/>
      <c r="I22" s="36"/>
      <c r="J22" s="35"/>
      <c r="K22" s="36"/>
      <c r="L22" s="35"/>
      <c r="M22" s="36"/>
      <c r="N22" s="35"/>
      <c r="O22" s="36"/>
      <c r="P22" s="35"/>
      <c r="Q22" s="22"/>
    </row>
    <row r="23" spans="2:21" s="23" customFormat="1" ht="17.5" customHeight="1" x14ac:dyDescent="0.45">
      <c r="B23" s="50" t="s">
        <v>2</v>
      </c>
      <c r="C23" s="37"/>
      <c r="D23" s="38"/>
      <c r="E23" s="37"/>
      <c r="F23" s="38"/>
      <c r="G23" s="39"/>
      <c r="H23" s="38"/>
      <c r="I23" s="39"/>
      <c r="J23" s="38"/>
      <c r="K23" s="39"/>
      <c r="L23" s="38"/>
      <c r="M23" s="39"/>
      <c r="N23" s="38"/>
      <c r="O23" s="39"/>
      <c r="P23" s="38"/>
      <c r="Q23" s="22"/>
    </row>
    <row r="24" spans="2:21" s="23" customFormat="1" ht="17.5" customHeight="1" x14ac:dyDescent="0.45">
      <c r="B24" s="50" t="s">
        <v>3</v>
      </c>
      <c r="C24" s="37"/>
      <c r="D24" s="38"/>
      <c r="E24" s="37"/>
      <c r="F24" s="38"/>
      <c r="G24" s="39"/>
      <c r="H24" s="38"/>
      <c r="I24" s="39"/>
      <c r="J24" s="38"/>
      <c r="K24" s="39"/>
      <c r="L24" s="38"/>
      <c r="M24" s="39"/>
      <c r="N24" s="38"/>
      <c r="O24" s="39"/>
      <c r="P24" s="38"/>
      <c r="Q24" s="22"/>
    </row>
    <row r="25" spans="2:21" s="23" customFormat="1" ht="17.5" customHeight="1" x14ac:dyDescent="0.45">
      <c r="B25" s="50" t="s">
        <v>4</v>
      </c>
      <c r="C25" s="37"/>
      <c r="D25" s="38"/>
      <c r="E25" s="37"/>
      <c r="F25" s="38"/>
      <c r="G25" s="39"/>
      <c r="H25" s="38"/>
      <c r="I25" s="39"/>
      <c r="J25" s="38"/>
      <c r="K25" s="39"/>
      <c r="L25" s="38"/>
      <c r="M25" s="39"/>
      <c r="N25" s="38"/>
      <c r="O25" s="39"/>
      <c r="P25" s="38"/>
      <c r="Q25" s="22"/>
    </row>
    <row r="26" spans="2:21" s="23" customFormat="1" ht="17.5" customHeight="1" x14ac:dyDescent="0.45">
      <c r="B26" s="50" t="s">
        <v>2</v>
      </c>
      <c r="C26" s="37"/>
      <c r="D26" s="38"/>
      <c r="E26" s="37"/>
      <c r="F26" s="38"/>
      <c r="G26" s="39"/>
      <c r="H26" s="38"/>
      <c r="I26" s="39"/>
      <c r="J26" s="38"/>
      <c r="K26" s="39"/>
      <c r="L26" s="38"/>
      <c r="M26" s="39"/>
      <c r="N26" s="38"/>
      <c r="O26" s="39"/>
      <c r="P26" s="38"/>
      <c r="Q26" s="22"/>
    </row>
    <row r="27" spans="2:21" s="23" customFormat="1" ht="17.5" customHeight="1" x14ac:dyDescent="0.45">
      <c r="B27" s="50"/>
      <c r="C27" s="37"/>
      <c r="D27" s="38"/>
      <c r="E27" s="37"/>
      <c r="F27" s="38"/>
      <c r="G27" s="39"/>
      <c r="H27" s="38"/>
      <c r="I27" s="39"/>
      <c r="J27" s="38"/>
      <c r="K27" s="39"/>
      <c r="L27" s="38"/>
      <c r="M27" s="39"/>
      <c r="N27" s="38"/>
      <c r="O27" s="39"/>
      <c r="P27" s="38"/>
      <c r="Q27" s="22"/>
    </row>
    <row r="28" spans="2:21" s="23" customFormat="1" ht="17.5" customHeight="1" x14ac:dyDescent="0.45">
      <c r="B28" s="50" t="s">
        <v>6</v>
      </c>
      <c r="C28" s="37"/>
      <c r="D28" s="38"/>
      <c r="E28" s="37"/>
      <c r="F28" s="38"/>
      <c r="G28" s="39"/>
      <c r="H28" s="38"/>
      <c r="I28" s="39"/>
      <c r="J28" s="38"/>
      <c r="K28" s="39"/>
      <c r="L28" s="38"/>
      <c r="M28" s="39"/>
      <c r="N28" s="38"/>
      <c r="O28" s="39"/>
      <c r="P28" s="38"/>
      <c r="Q28" s="22"/>
    </row>
    <row r="29" spans="2:21" s="23" customFormat="1" ht="17.5" customHeight="1" x14ac:dyDescent="0.35">
      <c r="B29" s="48"/>
      <c r="C29" s="37"/>
      <c r="D29" s="38"/>
      <c r="E29" s="37"/>
      <c r="F29" s="38"/>
      <c r="G29" s="39"/>
      <c r="H29" s="38"/>
      <c r="I29" s="39"/>
      <c r="J29" s="38"/>
      <c r="K29" s="39"/>
      <c r="L29" s="38"/>
      <c r="M29" s="39"/>
      <c r="N29" s="38"/>
      <c r="O29" s="39"/>
      <c r="P29" s="38"/>
      <c r="Q29" s="22"/>
    </row>
    <row r="30" spans="2:21" s="23" customFormat="1" ht="17.5" customHeight="1" x14ac:dyDescent="0.35">
      <c r="B30" s="48"/>
      <c r="C30" s="37"/>
      <c r="D30" s="38"/>
      <c r="E30" s="37"/>
      <c r="F30" s="38"/>
      <c r="G30" s="39"/>
      <c r="H30" s="38"/>
      <c r="I30" s="39"/>
      <c r="J30" s="38"/>
      <c r="K30" s="39"/>
      <c r="L30" s="38"/>
      <c r="M30" s="39"/>
      <c r="N30" s="38"/>
      <c r="O30" s="39"/>
      <c r="P30" s="38"/>
      <c r="Q30" s="22"/>
    </row>
    <row r="31" spans="2:21" s="23" customFormat="1" ht="17.5" customHeight="1" x14ac:dyDescent="0.35">
      <c r="B31" s="48"/>
      <c r="C31" s="37"/>
      <c r="D31" s="38"/>
      <c r="E31" s="37"/>
      <c r="F31" s="38"/>
      <c r="G31" s="39"/>
      <c r="H31" s="38"/>
      <c r="I31" s="39"/>
      <c r="J31" s="38"/>
      <c r="K31" s="39"/>
      <c r="L31" s="38"/>
      <c r="M31" s="39"/>
      <c r="N31" s="38"/>
      <c r="O31" s="39"/>
      <c r="P31" s="38"/>
      <c r="Q31" s="22"/>
    </row>
    <row r="32" spans="2:21" s="23" customFormat="1" ht="17.5" customHeight="1" x14ac:dyDescent="0.35">
      <c r="B32" s="48"/>
      <c r="C32" s="37"/>
      <c r="D32" s="38"/>
      <c r="E32" s="37"/>
      <c r="F32" s="38"/>
      <c r="G32" s="39"/>
      <c r="H32" s="38"/>
      <c r="I32" s="39"/>
      <c r="J32" s="38"/>
      <c r="K32" s="39"/>
      <c r="L32" s="38"/>
      <c r="M32" s="39"/>
      <c r="N32" s="38"/>
      <c r="O32" s="39"/>
      <c r="P32" s="38"/>
      <c r="Q32" s="22"/>
    </row>
    <row r="33" spans="2:21" s="23" customFormat="1" ht="17.5" customHeight="1" x14ac:dyDescent="0.35">
      <c r="B33" s="49"/>
      <c r="C33" s="40" t="s">
        <v>5</v>
      </c>
      <c r="D33" s="41"/>
      <c r="E33" s="40" t="s">
        <v>5</v>
      </c>
      <c r="F33" s="41"/>
      <c r="G33" s="42" t="s">
        <v>5</v>
      </c>
      <c r="H33" s="41"/>
      <c r="I33" s="42" t="s">
        <v>5</v>
      </c>
      <c r="J33" s="41"/>
      <c r="K33" s="42" t="s">
        <v>5</v>
      </c>
      <c r="L33" s="41"/>
      <c r="M33" s="42" t="s">
        <v>5</v>
      </c>
      <c r="N33" s="41"/>
      <c r="O33" s="42" t="s">
        <v>5</v>
      </c>
      <c r="P33" s="41"/>
      <c r="Q33" s="22"/>
    </row>
    <row r="34" spans="2:21" s="51" customFormat="1" ht="18" customHeight="1" x14ac:dyDescent="0.3">
      <c r="B34" s="52"/>
      <c r="C34" s="55">
        <f>IF(DAY(MaySun1)=1,IF(AND(YEAR(MaySun1+8)=CalendarYear,MONTH(MaySun1+8)=5),MaySun1+8,""),IF(AND(YEAR(MaySun1+15)=CalendarYear,MONTH(MaySun1+15)=5),MaySun1+15,""))</f>
        <v>44326</v>
      </c>
      <c r="D34" s="61" t="s">
        <v>29</v>
      </c>
      <c r="E34" s="55">
        <f>IF(DAY(MaySun1)=1,IF(AND(YEAR(MaySun1+9)=CalendarYear,MONTH(MaySun1+9)=5),MaySun1+9,""),IF(AND(YEAR(MaySun1+16)=CalendarYear,MONTH(MaySun1+16)=5),MaySun1+16,""))</f>
        <v>44327</v>
      </c>
      <c r="F34" s="61" t="s">
        <v>29</v>
      </c>
      <c r="G34" s="56">
        <f>IF(DAY(MaySun1)=1,IF(AND(YEAR(MaySun1+10)=CalendarYear,MONTH(MaySun1+10)=5),MaySun1+10,""),IF(AND(YEAR(MaySun1+17)=CalendarYear,MONTH(MaySun1+17)=5),MaySun1+17,""))</f>
        <v>44328</v>
      </c>
      <c r="H34" s="61" t="s">
        <v>29</v>
      </c>
      <c r="I34" s="56">
        <f>IF(DAY(MaySun1)=1,IF(AND(YEAR(MaySun1+11)=CalendarYear,MONTH(MaySun1+11)=5),MaySun1+11,""),IF(AND(YEAR(MaySun1+18)=CalendarYear,MONTH(MaySun1+18)=5),MaySun1+18,""))</f>
        <v>44329</v>
      </c>
      <c r="J34" s="61" t="s">
        <v>29</v>
      </c>
      <c r="K34" s="56">
        <f>IF(DAY(MaySun1)=1,IF(AND(YEAR(MaySun1+12)=CalendarYear,MONTH(MaySun1+12)=5),MaySun1+12,""),IF(AND(YEAR(MaySun1+19)=CalendarYear,MONTH(MaySun1+19)=5),MaySun1+19,""))</f>
        <v>44330</v>
      </c>
      <c r="L34" s="61" t="s">
        <v>29</v>
      </c>
      <c r="M34" s="56">
        <f>IF(DAY(MaySun1)=1,IF(AND(YEAR(MaySun1+13)=CalendarYear,MONTH(MaySun1+13)=5),MaySun1+13,""),IF(AND(YEAR(MaySun1+20)=CalendarYear,MONTH(MaySun1+20)=5),MaySun1+20,""))</f>
        <v>44331</v>
      </c>
      <c r="N34" s="61" t="s">
        <v>29</v>
      </c>
      <c r="O34" s="56">
        <f>IF(DAY(MaySun1)=1,IF(AND(YEAR(MaySun1+14)=CalendarYear,MONTH(MaySun1+14)=5),MaySun1+14,""),IF(AND(YEAR(MaySun1+21)=CalendarYear,MONTH(MaySun1+21)=5),MaySun1+21,""))</f>
        <v>44332</v>
      </c>
      <c r="P34" s="61" t="s">
        <v>29</v>
      </c>
      <c r="Q34" s="47"/>
      <c r="T34" s="53"/>
      <c r="U34" s="54"/>
    </row>
    <row r="35" spans="2:21" s="23" customFormat="1" ht="17.5" customHeight="1" x14ac:dyDescent="0.45">
      <c r="B35" s="50" t="s">
        <v>1</v>
      </c>
      <c r="C35" s="25"/>
      <c r="D35" s="26"/>
      <c r="E35" s="25"/>
      <c r="F35" s="26"/>
      <c r="G35" s="27"/>
      <c r="H35" s="26"/>
      <c r="I35" s="27"/>
      <c r="J35" s="26"/>
      <c r="K35" s="27"/>
      <c r="L35" s="26"/>
      <c r="M35" s="27"/>
      <c r="N35" s="26"/>
      <c r="O35" s="27"/>
      <c r="P35" s="26"/>
      <c r="Q35" s="22"/>
    </row>
    <row r="36" spans="2:21" s="23" customFormat="1" ht="17.5" customHeight="1" x14ac:dyDescent="0.45">
      <c r="B36" s="50" t="s">
        <v>2</v>
      </c>
      <c r="C36" s="28"/>
      <c r="D36" s="29"/>
      <c r="E36" s="28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22"/>
    </row>
    <row r="37" spans="2:21" s="23" customFormat="1" ht="17.5" customHeight="1" x14ac:dyDescent="0.45">
      <c r="B37" s="50" t="s">
        <v>3</v>
      </c>
      <c r="C37" s="28"/>
      <c r="D37" s="29"/>
      <c r="E37" s="28"/>
      <c r="F37" s="29"/>
      <c r="G37" s="30"/>
      <c r="H37" s="29"/>
      <c r="I37" s="30"/>
      <c r="J37" s="29"/>
      <c r="K37" s="30"/>
      <c r="L37" s="29"/>
      <c r="M37" s="30"/>
      <c r="N37" s="29"/>
      <c r="O37" s="30"/>
      <c r="P37" s="29"/>
      <c r="Q37" s="22"/>
    </row>
    <row r="38" spans="2:21" s="23" customFormat="1" ht="17.5" customHeight="1" x14ac:dyDescent="0.45">
      <c r="B38" s="50" t="s">
        <v>4</v>
      </c>
      <c r="C38" s="28"/>
      <c r="D38" s="29"/>
      <c r="E38" s="28"/>
      <c r="F38" s="29"/>
      <c r="G38" s="30"/>
      <c r="H38" s="29"/>
      <c r="I38" s="30"/>
      <c r="J38" s="29"/>
      <c r="K38" s="30"/>
      <c r="L38" s="29"/>
      <c r="M38" s="30"/>
      <c r="N38" s="29"/>
      <c r="O38" s="30"/>
      <c r="P38" s="29"/>
      <c r="Q38" s="22"/>
    </row>
    <row r="39" spans="2:21" s="23" customFormat="1" ht="17.5" customHeight="1" x14ac:dyDescent="0.45">
      <c r="B39" s="50" t="s">
        <v>2</v>
      </c>
      <c r="C39" s="28"/>
      <c r="D39" s="29"/>
      <c r="E39" s="28"/>
      <c r="F39" s="29"/>
      <c r="G39" s="30"/>
      <c r="H39" s="29"/>
      <c r="I39" s="30"/>
      <c r="J39" s="29"/>
      <c r="K39" s="30"/>
      <c r="L39" s="29"/>
      <c r="M39" s="30"/>
      <c r="N39" s="29"/>
      <c r="O39" s="30"/>
      <c r="P39" s="29"/>
      <c r="Q39" s="22"/>
    </row>
    <row r="40" spans="2:21" s="23" customFormat="1" ht="17.5" customHeight="1" x14ac:dyDescent="0.45">
      <c r="B40" s="50"/>
      <c r="C40" s="28"/>
      <c r="D40" s="29"/>
      <c r="E40" s="28"/>
      <c r="F40" s="29"/>
      <c r="G40" s="30"/>
      <c r="H40" s="29"/>
      <c r="I40" s="30"/>
      <c r="J40" s="29"/>
      <c r="K40" s="30"/>
      <c r="L40" s="29"/>
      <c r="M40" s="30"/>
      <c r="N40" s="29"/>
      <c r="O40" s="30"/>
      <c r="P40" s="29"/>
      <c r="Q40" s="22"/>
    </row>
    <row r="41" spans="2:21" s="23" customFormat="1" ht="17.5" customHeight="1" x14ac:dyDescent="0.45">
      <c r="B41" s="50" t="s">
        <v>6</v>
      </c>
      <c r="C41" s="28"/>
      <c r="D41" s="29"/>
      <c r="E41" s="28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22"/>
    </row>
    <row r="42" spans="2:21" s="23" customFormat="1" ht="17.5" customHeight="1" x14ac:dyDescent="0.35">
      <c r="B42" s="48"/>
      <c r="C42" s="28"/>
      <c r="D42" s="29"/>
      <c r="E42" s="28"/>
      <c r="F42" s="29"/>
      <c r="G42" s="30"/>
      <c r="H42" s="29"/>
      <c r="I42" s="30"/>
      <c r="J42" s="29"/>
      <c r="K42" s="30"/>
      <c r="L42" s="29"/>
      <c r="M42" s="30"/>
      <c r="N42" s="29"/>
      <c r="O42" s="30"/>
      <c r="P42" s="29"/>
      <c r="Q42" s="22"/>
    </row>
    <row r="43" spans="2:21" s="23" customFormat="1" ht="17.5" customHeight="1" x14ac:dyDescent="0.35">
      <c r="B43" s="48"/>
      <c r="C43" s="28"/>
      <c r="D43" s="29"/>
      <c r="E43" s="28"/>
      <c r="F43" s="29"/>
      <c r="G43" s="30"/>
      <c r="H43" s="29"/>
      <c r="I43" s="30"/>
      <c r="J43" s="29"/>
      <c r="K43" s="30"/>
      <c r="L43" s="29"/>
      <c r="M43" s="30"/>
      <c r="N43" s="29"/>
      <c r="O43" s="30"/>
      <c r="P43" s="29"/>
      <c r="Q43" s="22"/>
    </row>
    <row r="44" spans="2:21" s="23" customFormat="1" ht="17.5" customHeight="1" x14ac:dyDescent="0.35">
      <c r="B44" s="48"/>
      <c r="C44" s="28"/>
      <c r="D44" s="29"/>
      <c r="E44" s="28"/>
      <c r="F44" s="29"/>
      <c r="G44" s="30"/>
      <c r="H44" s="29"/>
      <c r="I44" s="30"/>
      <c r="J44" s="29"/>
      <c r="K44" s="30"/>
      <c r="L44" s="29"/>
      <c r="M44" s="30"/>
      <c r="N44" s="29"/>
      <c r="O44" s="30"/>
      <c r="P44" s="29"/>
      <c r="Q44" s="22"/>
    </row>
    <row r="45" spans="2:21" s="23" customFormat="1" ht="17.5" customHeight="1" x14ac:dyDescent="0.35">
      <c r="B45" s="48"/>
      <c r="C45" s="28"/>
      <c r="D45" s="29"/>
      <c r="E45" s="28"/>
      <c r="F45" s="29"/>
      <c r="G45" s="30"/>
      <c r="H45" s="29"/>
      <c r="I45" s="30"/>
      <c r="J45" s="29"/>
      <c r="K45" s="30"/>
      <c r="L45" s="29"/>
      <c r="M45" s="30"/>
      <c r="N45" s="29"/>
      <c r="O45" s="30"/>
      <c r="P45" s="29"/>
      <c r="Q45" s="22"/>
    </row>
    <row r="46" spans="2:21" s="23" customFormat="1" ht="17.5" customHeight="1" x14ac:dyDescent="0.35">
      <c r="B46" s="49"/>
      <c r="C46" s="31" t="s">
        <v>5</v>
      </c>
      <c r="D46" s="32"/>
      <c r="E46" s="31" t="s">
        <v>5</v>
      </c>
      <c r="F46" s="32"/>
      <c r="G46" s="33" t="s">
        <v>5</v>
      </c>
      <c r="H46" s="32"/>
      <c r="I46" s="33" t="s">
        <v>5</v>
      </c>
      <c r="J46" s="32"/>
      <c r="K46" s="33" t="s">
        <v>5</v>
      </c>
      <c r="L46" s="32"/>
      <c r="M46" s="33" t="s">
        <v>5</v>
      </c>
      <c r="N46" s="32"/>
      <c r="O46" s="33" t="s">
        <v>5</v>
      </c>
      <c r="P46" s="32"/>
      <c r="Q46" s="22"/>
    </row>
    <row r="47" spans="2:21" s="51" customFormat="1" ht="18" customHeight="1" x14ac:dyDescent="0.3">
      <c r="B47" s="52"/>
      <c r="C47" s="55">
        <f>IF(DAY(MaySun1)=1,IF(AND(YEAR(MaySun1+15)=CalendarYear,MONTH(MaySun1+15)=5),MaySun1+15,""),IF(AND(YEAR(MaySun1+22)=CalendarYear,MONTH(MaySun1+22)=5),MaySun1+22,""))</f>
        <v>44333</v>
      </c>
      <c r="D47" s="61" t="s">
        <v>29</v>
      </c>
      <c r="E47" s="55">
        <f>IF(DAY(MaySun1)=1,IF(AND(YEAR(MaySun1+16)=CalendarYear,MONTH(MaySun1+16)=5),MaySun1+16,""),IF(AND(YEAR(MaySun1+23)=CalendarYear,MONTH(MaySun1+23)=5),MaySun1+23,""))</f>
        <v>44334</v>
      </c>
      <c r="F47" s="61" t="s">
        <v>29</v>
      </c>
      <c r="G47" s="56">
        <f>IF(DAY(MaySun1)=1,IF(AND(YEAR(MaySun1+17)=CalendarYear,MONTH(MaySun1+17)=5),MaySun1+17,""),IF(AND(YEAR(MaySun1+24)=CalendarYear,MONTH(MaySun1+24)=5),MaySun1+24,""))</f>
        <v>44335</v>
      </c>
      <c r="H47" s="61" t="s">
        <v>29</v>
      </c>
      <c r="I47" s="56">
        <f>IF(DAY(MaySun1)=1,IF(AND(YEAR(MaySun1+18)=CalendarYear,MONTH(MaySun1+18)=5),MaySun1+18,""),IF(AND(YEAR(MaySun1+25)=CalendarYear,MONTH(MaySun1+25)=5),MaySun1+25,""))</f>
        <v>44336</v>
      </c>
      <c r="J47" s="61" t="s">
        <v>29</v>
      </c>
      <c r="K47" s="56">
        <f>IF(DAY(MaySun1)=1,IF(AND(YEAR(MaySun1+19)=CalendarYear,MONTH(MaySun1+19)=5),MaySun1+19,""),IF(AND(YEAR(MaySun1+26)=CalendarYear,MONTH(MaySun1+26)=5),MaySun1+26,""))</f>
        <v>44337</v>
      </c>
      <c r="L47" s="61" t="s">
        <v>29</v>
      </c>
      <c r="M47" s="56">
        <f>IF(DAY(MaySun1)=1,IF(AND(YEAR(MaySun1+20)=CalendarYear,MONTH(MaySun1+20)=5),MaySun1+20,""),IF(AND(YEAR(MaySun1+27)=CalendarYear,MONTH(MaySun1+27)=5),MaySun1+27,""))</f>
        <v>44338</v>
      </c>
      <c r="N47" s="61" t="s">
        <v>29</v>
      </c>
      <c r="O47" s="56">
        <f>IF(DAY(MaySun1)=1,IF(AND(YEAR(MaySun1+21)=CalendarYear,MONTH(MaySun1+21)=5),MaySun1+21,""),IF(AND(YEAR(MaySun1+28)=CalendarYear,MONTH(MaySun1+28)=5),MaySun1+28,""))</f>
        <v>44339</v>
      </c>
      <c r="P47" s="61" t="s">
        <v>29</v>
      </c>
      <c r="Q47" s="47"/>
      <c r="T47" s="53"/>
      <c r="U47" s="54"/>
    </row>
    <row r="48" spans="2:21" s="23" customFormat="1" ht="17.5" customHeight="1" x14ac:dyDescent="0.45">
      <c r="B48" s="50" t="s">
        <v>1</v>
      </c>
      <c r="C48" s="34"/>
      <c r="D48" s="35"/>
      <c r="E48" s="34"/>
      <c r="F48" s="35"/>
      <c r="G48" s="36"/>
      <c r="H48" s="35"/>
      <c r="I48" s="36"/>
      <c r="J48" s="35"/>
      <c r="K48" s="36"/>
      <c r="L48" s="35"/>
      <c r="M48" s="36"/>
      <c r="N48" s="35"/>
      <c r="O48" s="36"/>
      <c r="P48" s="35"/>
      <c r="Q48" s="22"/>
    </row>
    <row r="49" spans="2:21" s="23" customFormat="1" ht="17.5" customHeight="1" x14ac:dyDescent="0.45">
      <c r="B49" s="50" t="s">
        <v>2</v>
      </c>
      <c r="C49" s="37"/>
      <c r="D49" s="38"/>
      <c r="E49" s="37"/>
      <c r="F49" s="38"/>
      <c r="G49" s="39"/>
      <c r="H49" s="38"/>
      <c r="I49" s="39"/>
      <c r="J49" s="38"/>
      <c r="K49" s="39"/>
      <c r="L49" s="38"/>
      <c r="M49" s="39"/>
      <c r="N49" s="38"/>
      <c r="O49" s="39"/>
      <c r="P49" s="38"/>
      <c r="Q49" s="22"/>
    </row>
    <row r="50" spans="2:21" s="23" customFormat="1" ht="17.5" customHeight="1" x14ac:dyDescent="0.45">
      <c r="B50" s="50" t="s">
        <v>3</v>
      </c>
      <c r="C50" s="37"/>
      <c r="D50" s="38"/>
      <c r="E50" s="37"/>
      <c r="F50" s="38"/>
      <c r="G50" s="39"/>
      <c r="H50" s="38"/>
      <c r="I50" s="39"/>
      <c r="J50" s="38"/>
      <c r="K50" s="39"/>
      <c r="L50" s="38"/>
      <c r="M50" s="39"/>
      <c r="N50" s="38"/>
      <c r="O50" s="39"/>
      <c r="P50" s="38"/>
      <c r="Q50" s="22"/>
    </row>
    <row r="51" spans="2:21" s="23" customFormat="1" ht="17.5" customHeight="1" x14ac:dyDescent="0.45">
      <c r="B51" s="50" t="s">
        <v>4</v>
      </c>
      <c r="C51" s="37"/>
      <c r="D51" s="38"/>
      <c r="E51" s="37"/>
      <c r="F51" s="38"/>
      <c r="G51" s="39"/>
      <c r="H51" s="38"/>
      <c r="I51" s="39"/>
      <c r="J51" s="38"/>
      <c r="K51" s="39"/>
      <c r="L51" s="38"/>
      <c r="M51" s="39"/>
      <c r="N51" s="38"/>
      <c r="O51" s="39"/>
      <c r="P51" s="38"/>
      <c r="Q51" s="22"/>
    </row>
    <row r="52" spans="2:21" s="23" customFormat="1" ht="17.5" customHeight="1" x14ac:dyDescent="0.45">
      <c r="B52" s="50" t="s">
        <v>2</v>
      </c>
      <c r="C52" s="37"/>
      <c r="D52" s="38"/>
      <c r="E52" s="37"/>
      <c r="F52" s="38"/>
      <c r="G52" s="39"/>
      <c r="H52" s="38"/>
      <c r="I52" s="39"/>
      <c r="J52" s="38"/>
      <c r="K52" s="39"/>
      <c r="L52" s="38"/>
      <c r="M52" s="39"/>
      <c r="N52" s="38"/>
      <c r="O52" s="39"/>
      <c r="P52" s="38"/>
      <c r="Q52" s="22"/>
    </row>
    <row r="53" spans="2:21" s="23" customFormat="1" ht="17.5" customHeight="1" x14ac:dyDescent="0.45">
      <c r="B53" s="50"/>
      <c r="C53" s="37"/>
      <c r="D53" s="38"/>
      <c r="E53" s="37"/>
      <c r="F53" s="38"/>
      <c r="G53" s="39"/>
      <c r="H53" s="38"/>
      <c r="I53" s="39"/>
      <c r="J53" s="38"/>
      <c r="K53" s="39"/>
      <c r="L53" s="38"/>
      <c r="M53" s="39"/>
      <c r="N53" s="38"/>
      <c r="O53" s="39"/>
      <c r="P53" s="38"/>
      <c r="Q53" s="22"/>
    </row>
    <row r="54" spans="2:21" s="23" customFormat="1" ht="17.5" customHeight="1" x14ac:dyDescent="0.45">
      <c r="B54" s="50" t="s">
        <v>6</v>
      </c>
      <c r="C54" s="37"/>
      <c r="D54" s="38"/>
      <c r="E54" s="37"/>
      <c r="F54" s="38"/>
      <c r="G54" s="39"/>
      <c r="H54" s="38"/>
      <c r="I54" s="39"/>
      <c r="J54" s="38"/>
      <c r="K54" s="39"/>
      <c r="L54" s="38"/>
      <c r="M54" s="39"/>
      <c r="N54" s="38"/>
      <c r="O54" s="39"/>
      <c r="P54" s="38"/>
      <c r="Q54" s="22"/>
    </row>
    <row r="55" spans="2:21" s="23" customFormat="1" ht="17.5" customHeight="1" x14ac:dyDescent="0.35">
      <c r="B55" s="48"/>
      <c r="C55" s="37"/>
      <c r="D55" s="38"/>
      <c r="E55" s="37"/>
      <c r="F55" s="38"/>
      <c r="G55" s="39"/>
      <c r="H55" s="38"/>
      <c r="I55" s="39"/>
      <c r="J55" s="38"/>
      <c r="K55" s="39"/>
      <c r="L55" s="38"/>
      <c r="M55" s="39"/>
      <c r="N55" s="38"/>
      <c r="O55" s="39"/>
      <c r="P55" s="38"/>
      <c r="Q55" s="22"/>
    </row>
    <row r="56" spans="2:21" s="23" customFormat="1" ht="17.5" customHeight="1" x14ac:dyDescent="0.35">
      <c r="B56" s="48"/>
      <c r="C56" s="37"/>
      <c r="D56" s="38"/>
      <c r="E56" s="37"/>
      <c r="F56" s="38"/>
      <c r="G56" s="39"/>
      <c r="H56" s="38"/>
      <c r="I56" s="39"/>
      <c r="J56" s="38"/>
      <c r="K56" s="39"/>
      <c r="L56" s="38"/>
      <c r="M56" s="39"/>
      <c r="N56" s="38"/>
      <c r="O56" s="39"/>
      <c r="P56" s="38"/>
      <c r="Q56" s="22"/>
    </row>
    <row r="57" spans="2:21" s="23" customFormat="1" ht="17.5" customHeight="1" x14ac:dyDescent="0.35">
      <c r="B57" s="48"/>
      <c r="C57" s="37"/>
      <c r="D57" s="38"/>
      <c r="E57" s="37"/>
      <c r="F57" s="38"/>
      <c r="G57" s="39"/>
      <c r="H57" s="38"/>
      <c r="I57" s="39"/>
      <c r="J57" s="38"/>
      <c r="K57" s="39"/>
      <c r="L57" s="38"/>
      <c r="M57" s="39"/>
      <c r="N57" s="38"/>
      <c r="O57" s="39"/>
      <c r="P57" s="38"/>
      <c r="Q57" s="22"/>
    </row>
    <row r="58" spans="2:21" s="23" customFormat="1" ht="17.5" customHeight="1" x14ac:dyDescent="0.35">
      <c r="B58" s="48"/>
      <c r="C58" s="37"/>
      <c r="D58" s="38"/>
      <c r="E58" s="37"/>
      <c r="F58" s="38"/>
      <c r="G58" s="39"/>
      <c r="H58" s="38"/>
      <c r="I58" s="39"/>
      <c r="J58" s="38"/>
      <c r="K58" s="39"/>
      <c r="L58" s="38"/>
      <c r="M58" s="39"/>
      <c r="N58" s="38"/>
      <c r="O58" s="39"/>
      <c r="P58" s="38"/>
      <c r="Q58" s="22"/>
    </row>
    <row r="59" spans="2:21" s="23" customFormat="1" ht="17.5" customHeight="1" x14ac:dyDescent="0.35">
      <c r="B59" s="49"/>
      <c r="C59" s="40" t="s">
        <v>5</v>
      </c>
      <c r="D59" s="41"/>
      <c r="E59" s="40" t="s">
        <v>5</v>
      </c>
      <c r="F59" s="41"/>
      <c r="G59" s="42" t="s">
        <v>5</v>
      </c>
      <c r="H59" s="41"/>
      <c r="I59" s="42" t="s">
        <v>5</v>
      </c>
      <c r="J59" s="41"/>
      <c r="K59" s="42" t="s">
        <v>5</v>
      </c>
      <c r="L59" s="41"/>
      <c r="M59" s="42" t="s">
        <v>5</v>
      </c>
      <c r="N59" s="41"/>
      <c r="O59" s="42" t="s">
        <v>5</v>
      </c>
      <c r="P59" s="41"/>
      <c r="Q59" s="22"/>
    </row>
    <row r="60" spans="2:21" s="51" customFormat="1" ht="18" customHeight="1" x14ac:dyDescent="0.3">
      <c r="B60" s="52"/>
      <c r="C60" s="55">
        <f>IF(DAY(MaySun1)=1,IF(AND(YEAR(MaySun1+22)=CalendarYear,MONTH(MaySun1+22)=5),MaySun1+22,""),IF(AND(YEAR(MaySun1+29)=CalendarYear,MONTH(MaySun1+29)=5),MaySun1+29,""))</f>
        <v>44340</v>
      </c>
      <c r="D60" s="61" t="s">
        <v>29</v>
      </c>
      <c r="E60" s="55">
        <f>IF(DAY(MaySun1)=1,IF(AND(YEAR(MaySun1+23)=CalendarYear,MONTH(MaySun1+23)=5),MaySun1+23,""),IF(AND(YEAR(MaySun1+30)=CalendarYear,MONTH(MaySun1+30)=5),MaySun1+30,""))</f>
        <v>44341</v>
      </c>
      <c r="F60" s="61" t="s">
        <v>29</v>
      </c>
      <c r="G60" s="56">
        <f>IF(DAY(MaySun1)=1,IF(AND(YEAR(MaySun1+24)=CalendarYear,MONTH(MaySun1+24)=5),MaySun1+24,""),IF(AND(YEAR(MaySun1+31)=CalendarYear,MONTH(MaySun1+31)=5),MaySun1+31,""))</f>
        <v>44342</v>
      </c>
      <c r="H60" s="61" t="s">
        <v>29</v>
      </c>
      <c r="I60" s="56">
        <f>IF(DAY(MaySun1)=1,IF(AND(YEAR(MaySun1+25)=CalendarYear,MONTH(MaySun1+25)=5),MaySun1+25,""),IF(AND(YEAR(MaySun1+32)=CalendarYear,MONTH(MaySun1+32)=5),MaySun1+32,""))</f>
        <v>44343</v>
      </c>
      <c r="J60" s="61" t="s">
        <v>29</v>
      </c>
      <c r="K60" s="56">
        <f>IF(DAY(MaySun1)=1,IF(AND(YEAR(MaySun1+26)=CalendarYear,MONTH(MaySun1+26)=5),MaySun1+26,""),IF(AND(YEAR(MaySun1+33)=CalendarYear,MONTH(MaySun1+33)=5),MaySun1+33,""))</f>
        <v>44344</v>
      </c>
      <c r="L60" s="61" t="s">
        <v>29</v>
      </c>
      <c r="M60" s="56">
        <f>IF(DAY(MaySun1)=1,IF(AND(YEAR(MaySun1+27)=CalendarYear,MONTH(MaySun1+27)=5),MaySun1+27,""),IF(AND(YEAR(MaySun1+34)=CalendarYear,MONTH(MaySun1+34)=5),MaySun1+34,""))</f>
        <v>44345</v>
      </c>
      <c r="N60" s="61" t="s">
        <v>29</v>
      </c>
      <c r="O60" s="56">
        <f>IF(DAY(MaySun1)=1,IF(AND(YEAR(MaySun1+28)=CalendarYear,MONTH(MaySun1+28)=5),MaySun1+28,""),IF(AND(YEAR(MaySun1+35)=CalendarYear,MONTH(MaySun1+35)=5),MaySun1+35,""))</f>
        <v>44346</v>
      </c>
      <c r="P60" s="61" t="s">
        <v>29</v>
      </c>
      <c r="Q60" s="47"/>
      <c r="T60" s="53"/>
      <c r="U60" s="54"/>
    </row>
    <row r="61" spans="2:21" s="23" customFormat="1" ht="17.5" customHeight="1" x14ac:dyDescent="0.45">
      <c r="B61" s="50" t="s">
        <v>1</v>
      </c>
      <c r="C61" s="25"/>
      <c r="D61" s="26"/>
      <c r="E61" s="25"/>
      <c r="F61" s="26"/>
      <c r="G61" s="27"/>
      <c r="H61" s="26"/>
      <c r="I61" s="27"/>
      <c r="J61" s="26"/>
      <c r="K61" s="27"/>
      <c r="L61" s="26"/>
      <c r="M61" s="27"/>
      <c r="N61" s="26"/>
      <c r="O61" s="27"/>
      <c r="P61" s="26"/>
      <c r="Q61" s="22"/>
    </row>
    <row r="62" spans="2:21" s="23" customFormat="1" ht="17.5" customHeight="1" x14ac:dyDescent="0.45">
      <c r="B62" s="50" t="s">
        <v>2</v>
      </c>
      <c r="C62" s="28"/>
      <c r="D62" s="29"/>
      <c r="E62" s="28"/>
      <c r="F62" s="29"/>
      <c r="G62" s="30"/>
      <c r="H62" s="29"/>
      <c r="I62" s="30"/>
      <c r="J62" s="29"/>
      <c r="K62" s="30"/>
      <c r="L62" s="29"/>
      <c r="M62" s="30"/>
      <c r="N62" s="29"/>
      <c r="O62" s="30"/>
      <c r="P62" s="29"/>
      <c r="Q62" s="22"/>
    </row>
    <row r="63" spans="2:21" s="23" customFormat="1" ht="17.5" customHeight="1" x14ac:dyDescent="0.45">
      <c r="B63" s="50" t="s">
        <v>3</v>
      </c>
      <c r="C63" s="28"/>
      <c r="D63" s="29"/>
      <c r="E63" s="28"/>
      <c r="F63" s="29"/>
      <c r="G63" s="30"/>
      <c r="H63" s="29"/>
      <c r="I63" s="30"/>
      <c r="J63" s="29"/>
      <c r="K63" s="30"/>
      <c r="L63" s="29"/>
      <c r="M63" s="30"/>
      <c r="N63" s="29"/>
      <c r="O63" s="30"/>
      <c r="P63" s="29"/>
      <c r="Q63" s="22"/>
    </row>
    <row r="64" spans="2:21" s="23" customFormat="1" ht="17.5" customHeight="1" x14ac:dyDescent="0.45">
      <c r="B64" s="50" t="s">
        <v>4</v>
      </c>
      <c r="C64" s="28"/>
      <c r="D64" s="29"/>
      <c r="E64" s="28"/>
      <c r="F64" s="29"/>
      <c r="G64" s="30"/>
      <c r="H64" s="29"/>
      <c r="I64" s="30"/>
      <c r="J64" s="29"/>
      <c r="K64" s="30"/>
      <c r="L64" s="29"/>
      <c r="M64" s="30"/>
      <c r="N64" s="29"/>
      <c r="O64" s="30"/>
      <c r="P64" s="29"/>
      <c r="Q64" s="22"/>
    </row>
    <row r="65" spans="1:21" s="23" customFormat="1" ht="17.5" customHeight="1" x14ac:dyDescent="0.45">
      <c r="B65" s="50" t="s">
        <v>2</v>
      </c>
      <c r="C65" s="28"/>
      <c r="D65" s="29"/>
      <c r="E65" s="28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22"/>
    </row>
    <row r="66" spans="1:21" s="23" customFormat="1" ht="17.5" customHeight="1" x14ac:dyDescent="0.45">
      <c r="B66" s="50"/>
      <c r="C66" s="28"/>
      <c r="D66" s="29"/>
      <c r="E66" s="28"/>
      <c r="F66" s="29"/>
      <c r="G66" s="30"/>
      <c r="H66" s="29"/>
      <c r="I66" s="30"/>
      <c r="J66" s="29"/>
      <c r="K66" s="30"/>
      <c r="L66" s="29"/>
      <c r="M66" s="30"/>
      <c r="N66" s="29"/>
      <c r="O66" s="30"/>
      <c r="P66" s="29"/>
      <c r="Q66" s="22"/>
    </row>
    <row r="67" spans="1:21" s="23" customFormat="1" ht="17.5" customHeight="1" x14ac:dyDescent="0.45">
      <c r="B67" s="50" t="s">
        <v>6</v>
      </c>
      <c r="C67" s="28"/>
      <c r="D67" s="29"/>
      <c r="E67" s="28"/>
      <c r="F67" s="29"/>
      <c r="G67" s="30"/>
      <c r="H67" s="29"/>
      <c r="I67" s="30"/>
      <c r="J67" s="29"/>
      <c r="K67" s="30"/>
      <c r="L67" s="29"/>
      <c r="M67" s="30"/>
      <c r="N67" s="29"/>
      <c r="O67" s="30"/>
      <c r="P67" s="29"/>
      <c r="Q67" s="22"/>
    </row>
    <row r="68" spans="1:21" s="23" customFormat="1" ht="17.5" customHeight="1" x14ac:dyDescent="0.35">
      <c r="B68" s="48"/>
      <c r="C68" s="28"/>
      <c r="D68" s="29"/>
      <c r="E68" s="28"/>
      <c r="F68" s="29"/>
      <c r="G68" s="30"/>
      <c r="H68" s="29"/>
      <c r="I68" s="30"/>
      <c r="J68" s="29"/>
      <c r="K68" s="30"/>
      <c r="L68" s="29"/>
      <c r="M68" s="30"/>
      <c r="N68" s="29"/>
      <c r="O68" s="30"/>
      <c r="P68" s="29"/>
      <c r="Q68" s="22"/>
    </row>
    <row r="69" spans="1:21" s="23" customFormat="1" ht="17.5" customHeight="1" x14ac:dyDescent="0.35">
      <c r="B69" s="48"/>
      <c r="C69" s="28"/>
      <c r="D69" s="29"/>
      <c r="E69" s="28"/>
      <c r="F69" s="29"/>
      <c r="G69" s="30"/>
      <c r="H69" s="29"/>
      <c r="I69" s="30"/>
      <c r="J69" s="29"/>
      <c r="K69" s="30"/>
      <c r="L69" s="29"/>
      <c r="M69" s="30"/>
      <c r="N69" s="29"/>
      <c r="O69" s="30"/>
      <c r="P69" s="29"/>
      <c r="Q69" s="22"/>
    </row>
    <row r="70" spans="1:21" s="23" customFormat="1" ht="17.5" customHeight="1" x14ac:dyDescent="0.35">
      <c r="B70" s="48"/>
      <c r="C70" s="28"/>
      <c r="D70" s="29"/>
      <c r="E70" s="28"/>
      <c r="F70" s="29"/>
      <c r="G70" s="30"/>
      <c r="H70" s="29"/>
      <c r="I70" s="30"/>
      <c r="J70" s="29"/>
      <c r="K70" s="30"/>
      <c r="L70" s="29"/>
      <c r="M70" s="30"/>
      <c r="N70" s="29"/>
      <c r="O70" s="30"/>
      <c r="P70" s="29"/>
      <c r="Q70" s="22"/>
    </row>
    <row r="71" spans="1:21" s="23" customFormat="1" ht="17.5" customHeight="1" x14ac:dyDescent="0.35">
      <c r="B71" s="48"/>
      <c r="C71" s="28"/>
      <c r="D71" s="29"/>
      <c r="E71" s="28"/>
      <c r="F71" s="29"/>
      <c r="G71" s="30"/>
      <c r="H71" s="29"/>
      <c r="I71" s="30"/>
      <c r="J71" s="29"/>
      <c r="K71" s="30"/>
      <c r="L71" s="29"/>
      <c r="M71" s="30"/>
      <c r="N71" s="29"/>
      <c r="O71" s="30"/>
      <c r="P71" s="29"/>
      <c r="Q71" s="22"/>
    </row>
    <row r="72" spans="1:21" s="23" customFormat="1" ht="17.5" customHeight="1" x14ac:dyDescent="0.35">
      <c r="B72" s="49"/>
      <c r="C72" s="31" t="s">
        <v>5</v>
      </c>
      <c r="D72" s="32"/>
      <c r="E72" s="31" t="s">
        <v>5</v>
      </c>
      <c r="F72" s="32"/>
      <c r="G72" s="33" t="s">
        <v>5</v>
      </c>
      <c r="H72" s="32"/>
      <c r="I72" s="33" t="s">
        <v>5</v>
      </c>
      <c r="J72" s="32"/>
      <c r="K72" s="33" t="s">
        <v>5</v>
      </c>
      <c r="L72" s="32"/>
      <c r="M72" s="33" t="s">
        <v>5</v>
      </c>
      <c r="N72" s="32"/>
      <c r="O72" s="33" t="s">
        <v>5</v>
      </c>
      <c r="P72" s="32"/>
      <c r="Q72" s="22"/>
    </row>
    <row r="73" spans="1:21" s="21" customFormat="1" ht="18" customHeight="1" x14ac:dyDescent="0.3">
      <c r="A73" s="51"/>
      <c r="B73" s="52"/>
      <c r="C73" s="55">
        <f>IF(DAY(MaySun1)=1,IF(AND(YEAR(MaySun1+29)=CalendarYear,MONTH(MaySun1+29)=5),MaySun1+29,""),IF(AND(YEAR(MaySun1+36)=CalendarYear,MONTH(MaySun1+36)=5),MaySun1+36,""))</f>
        <v>44347</v>
      </c>
      <c r="D73" s="61" t="s">
        <v>29</v>
      </c>
      <c r="E73" s="55" t="str">
        <f>IF(DAY(MaySun1)=1,IF(AND(YEAR(MaySun1+30)=CalendarYear,MONTH(MaySun1+30)=5),MaySun1+30,""),IF(AND(YEAR(MaySun1+37)=CalendarYear,MONTH(MaySun1+37)=5),MaySun1+37,""))</f>
        <v/>
      </c>
      <c r="F73" s="61" t="s">
        <v>29</v>
      </c>
      <c r="G73" s="56" t="s">
        <v>14</v>
      </c>
      <c r="H73" s="57"/>
      <c r="I73" s="58"/>
      <c r="J73" s="57"/>
      <c r="K73" s="58"/>
      <c r="L73" s="57"/>
      <c r="M73" s="58"/>
      <c r="N73" s="57"/>
      <c r="O73" s="58"/>
      <c r="P73" s="57"/>
      <c r="Q73" s="22"/>
      <c r="T73" s="23"/>
      <c r="U73" s="24"/>
    </row>
    <row r="74" spans="1:21" s="23" customFormat="1" ht="17.5" customHeight="1" x14ac:dyDescent="0.45">
      <c r="B74" s="50" t="s">
        <v>1</v>
      </c>
      <c r="C74" s="34"/>
      <c r="D74" s="35"/>
      <c r="E74" s="34"/>
      <c r="F74" s="35"/>
      <c r="G74" s="163"/>
      <c r="H74" s="164"/>
      <c r="I74" s="164"/>
      <c r="J74" s="164"/>
      <c r="K74" s="164"/>
      <c r="L74" s="164"/>
      <c r="M74" s="164"/>
      <c r="N74" s="164"/>
      <c r="O74" s="164"/>
      <c r="P74" s="165"/>
      <c r="Q74" s="22"/>
    </row>
    <row r="75" spans="1:21" s="23" customFormat="1" ht="17.5" customHeight="1" x14ac:dyDescent="0.45">
      <c r="B75" s="50" t="s">
        <v>2</v>
      </c>
      <c r="C75" s="37"/>
      <c r="D75" s="38"/>
      <c r="E75" s="37"/>
      <c r="F75" s="38"/>
      <c r="G75" s="166"/>
      <c r="H75" s="167"/>
      <c r="I75" s="167"/>
      <c r="J75" s="167"/>
      <c r="K75" s="167"/>
      <c r="L75" s="167"/>
      <c r="M75" s="167"/>
      <c r="N75" s="167"/>
      <c r="O75" s="167"/>
      <c r="P75" s="168"/>
      <c r="Q75" s="22"/>
    </row>
    <row r="76" spans="1:21" s="23" customFormat="1" ht="17.5" customHeight="1" x14ac:dyDescent="0.45">
      <c r="B76" s="50" t="s">
        <v>3</v>
      </c>
      <c r="C76" s="37"/>
      <c r="D76" s="38"/>
      <c r="E76" s="37"/>
      <c r="F76" s="38"/>
      <c r="G76" s="166"/>
      <c r="H76" s="167"/>
      <c r="I76" s="167"/>
      <c r="J76" s="167"/>
      <c r="K76" s="167"/>
      <c r="L76" s="167"/>
      <c r="M76" s="167"/>
      <c r="N76" s="167"/>
      <c r="O76" s="167"/>
      <c r="P76" s="168"/>
      <c r="Q76" s="22"/>
    </row>
    <row r="77" spans="1:21" s="23" customFormat="1" ht="17.5" customHeight="1" x14ac:dyDescent="0.45">
      <c r="B77" s="50" t="s">
        <v>4</v>
      </c>
      <c r="C77" s="37"/>
      <c r="D77" s="38"/>
      <c r="E77" s="37"/>
      <c r="F77" s="38"/>
      <c r="G77" s="166"/>
      <c r="H77" s="167"/>
      <c r="I77" s="167"/>
      <c r="J77" s="167"/>
      <c r="K77" s="167"/>
      <c r="L77" s="167"/>
      <c r="M77" s="167"/>
      <c r="N77" s="167"/>
      <c r="O77" s="167"/>
      <c r="P77" s="168"/>
      <c r="Q77" s="22"/>
    </row>
    <row r="78" spans="1:21" s="23" customFormat="1" ht="17.5" customHeight="1" x14ac:dyDescent="0.45">
      <c r="B78" s="50" t="s">
        <v>2</v>
      </c>
      <c r="C78" s="37"/>
      <c r="D78" s="38"/>
      <c r="E78" s="37"/>
      <c r="F78" s="38"/>
      <c r="G78" s="166"/>
      <c r="H78" s="167"/>
      <c r="I78" s="167"/>
      <c r="J78" s="167"/>
      <c r="K78" s="167"/>
      <c r="L78" s="167"/>
      <c r="M78" s="167"/>
      <c r="N78" s="167"/>
      <c r="O78" s="167"/>
      <c r="P78" s="168"/>
      <c r="Q78" s="22"/>
    </row>
    <row r="79" spans="1:21" s="23" customFormat="1" ht="17.5" customHeight="1" x14ac:dyDescent="0.45">
      <c r="B79" s="50"/>
      <c r="C79" s="37"/>
      <c r="D79" s="38"/>
      <c r="E79" s="37"/>
      <c r="F79" s="38"/>
      <c r="G79" s="166"/>
      <c r="H79" s="167"/>
      <c r="I79" s="167"/>
      <c r="J79" s="167"/>
      <c r="K79" s="167"/>
      <c r="L79" s="167"/>
      <c r="M79" s="167"/>
      <c r="N79" s="167"/>
      <c r="O79" s="167"/>
      <c r="P79" s="168"/>
      <c r="Q79" s="22"/>
    </row>
    <row r="80" spans="1:21" s="23" customFormat="1" ht="17.5" customHeight="1" x14ac:dyDescent="0.45">
      <c r="B80" s="50" t="s">
        <v>6</v>
      </c>
      <c r="C80" s="37"/>
      <c r="D80" s="38"/>
      <c r="E80" s="37"/>
      <c r="F80" s="38"/>
      <c r="G80" s="166"/>
      <c r="H80" s="167"/>
      <c r="I80" s="167"/>
      <c r="J80" s="167"/>
      <c r="K80" s="167"/>
      <c r="L80" s="167"/>
      <c r="M80" s="167"/>
      <c r="N80" s="167"/>
      <c r="O80" s="167"/>
      <c r="P80" s="168"/>
      <c r="Q80" s="22"/>
    </row>
    <row r="81" spans="1:17" s="23" customFormat="1" ht="17.5" customHeight="1" x14ac:dyDescent="0.35">
      <c r="B81" s="48"/>
      <c r="C81" s="37"/>
      <c r="D81" s="38"/>
      <c r="E81" s="37"/>
      <c r="F81" s="38"/>
      <c r="G81" s="166"/>
      <c r="H81" s="167"/>
      <c r="I81" s="167"/>
      <c r="J81" s="167"/>
      <c r="K81" s="167"/>
      <c r="L81" s="167"/>
      <c r="M81" s="167"/>
      <c r="N81" s="167"/>
      <c r="O81" s="167"/>
      <c r="P81" s="168"/>
      <c r="Q81" s="22"/>
    </row>
    <row r="82" spans="1:17" s="23" customFormat="1" ht="17.5" customHeight="1" x14ac:dyDescent="0.35">
      <c r="B82" s="48"/>
      <c r="C82" s="37"/>
      <c r="D82" s="38"/>
      <c r="E82" s="37"/>
      <c r="F82" s="38"/>
      <c r="G82" s="166"/>
      <c r="H82" s="167"/>
      <c r="I82" s="167"/>
      <c r="J82" s="167"/>
      <c r="K82" s="167"/>
      <c r="L82" s="167"/>
      <c r="M82" s="167"/>
      <c r="N82" s="167"/>
      <c r="O82" s="167"/>
      <c r="P82" s="168"/>
      <c r="Q82" s="22"/>
    </row>
    <row r="83" spans="1:17" s="23" customFormat="1" ht="17.5" customHeight="1" x14ac:dyDescent="0.35">
      <c r="B83" s="48"/>
      <c r="C83" s="37"/>
      <c r="D83" s="38"/>
      <c r="E83" s="37"/>
      <c r="F83" s="38"/>
      <c r="G83" s="166"/>
      <c r="H83" s="167"/>
      <c r="I83" s="167"/>
      <c r="J83" s="167"/>
      <c r="K83" s="167"/>
      <c r="L83" s="167"/>
      <c r="M83" s="167"/>
      <c r="N83" s="167"/>
      <c r="O83" s="167"/>
      <c r="P83" s="168"/>
      <c r="Q83" s="22"/>
    </row>
    <row r="84" spans="1:17" s="23" customFormat="1" ht="17.5" customHeight="1" x14ac:dyDescent="0.35">
      <c r="B84" s="48"/>
      <c r="C84" s="37"/>
      <c r="D84" s="38"/>
      <c r="E84" s="37"/>
      <c r="F84" s="38"/>
      <c r="G84" s="166"/>
      <c r="H84" s="167"/>
      <c r="I84" s="167"/>
      <c r="J84" s="167"/>
      <c r="K84" s="167"/>
      <c r="L84" s="167"/>
      <c r="M84" s="167"/>
      <c r="N84" s="167"/>
      <c r="O84" s="167"/>
      <c r="P84" s="168"/>
      <c r="Q84" s="22"/>
    </row>
    <row r="85" spans="1:17" s="23" customFormat="1" ht="17.5" customHeight="1" x14ac:dyDescent="0.35">
      <c r="B85" s="49"/>
      <c r="C85" s="40" t="s">
        <v>5</v>
      </c>
      <c r="D85" s="41"/>
      <c r="E85" s="40" t="s">
        <v>5</v>
      </c>
      <c r="F85" s="41"/>
      <c r="G85" s="169"/>
      <c r="H85" s="170"/>
      <c r="I85" s="170"/>
      <c r="J85" s="170"/>
      <c r="K85" s="170"/>
      <c r="L85" s="170"/>
      <c r="M85" s="170"/>
      <c r="N85" s="170"/>
      <c r="O85" s="170"/>
      <c r="P85" s="171"/>
      <c r="Q85" s="22"/>
    </row>
    <row r="86" spans="1:17" ht="22.75" customHeight="1" x14ac:dyDescent="0.3">
      <c r="B86" s="159" t="s">
        <v>27</v>
      </c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</row>
    <row r="87" spans="1:17" ht="22.75" customHeight="1" x14ac:dyDescent="0.3">
      <c r="A87" s="2"/>
      <c r="B87" s="158" t="s">
        <v>28</v>
      </c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</row>
    <row r="88" spans="1:17" x14ac:dyDescent="0.3">
      <c r="A88" s="2"/>
    </row>
    <row r="89" spans="1:17" x14ac:dyDescent="0.3">
      <c r="A89" s="2"/>
    </row>
    <row r="90" spans="1:17" ht="21" customHeight="1" x14ac:dyDescent="0.3">
      <c r="A90" s="2"/>
      <c r="E90" s="5"/>
      <c r="F90" s="17"/>
      <c r="G90" s="4"/>
      <c r="H90" s="18"/>
      <c r="I90" s="3"/>
      <c r="J90" s="19"/>
    </row>
    <row r="91" spans="1:17" ht="19.5" customHeight="1" x14ac:dyDescent="0.3">
      <c r="A91" s="2"/>
    </row>
    <row r="92" spans="1:17" ht="15" x14ac:dyDescent="0.3">
      <c r="A92"/>
    </row>
    <row r="93" spans="1:17" x14ac:dyDescent="0.3">
      <c r="A93" s="2"/>
    </row>
    <row r="94" spans="1:17" x14ac:dyDescent="0.3">
      <c r="A94" s="2"/>
    </row>
    <row r="95" spans="1:17" x14ac:dyDescent="0.3">
      <c r="A95" s="2"/>
    </row>
    <row r="96" spans="1:17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ht="15" x14ac:dyDescent="0.3">
      <c r="A105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ht="15" x14ac:dyDescent="0.3">
      <c r="A118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ht="15" x14ac:dyDescent="0.3">
      <c r="A131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4" spans="1:1" ht="15" x14ac:dyDescent="0.3">
      <c r="A144"/>
    </row>
    <row r="145" spans="1:1" x14ac:dyDescent="0.3">
      <c r="A145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x14ac:dyDescent="0.3">
      <c r="A150" s="2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ht="15" x14ac:dyDescent="0.3">
      <c r="A163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x14ac:dyDescent="0.3">
      <c r="A174" s="2"/>
    </row>
    <row r="175" spans="1:1" x14ac:dyDescent="0.3">
      <c r="A175" s="2"/>
    </row>
    <row r="176" spans="1:1" ht="15" x14ac:dyDescent="0.3">
      <c r="A176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ht="15" x14ac:dyDescent="0.3">
      <c r="A189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ht="15" x14ac:dyDescent="0.3">
      <c r="A20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x14ac:dyDescent="0.3">
      <c r="A213" s="2"/>
    </row>
    <row r="214" spans="1:1" x14ac:dyDescent="0.3">
      <c r="A214" s="2"/>
    </row>
    <row r="215" spans="1:1" ht="15" x14ac:dyDescent="0.3">
      <c r="A215"/>
    </row>
    <row r="216" spans="1:1" x14ac:dyDescent="0.3">
      <c r="A216" s="2"/>
    </row>
    <row r="217" spans="1:1" x14ac:dyDescent="0.3">
      <c r="A217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x14ac:dyDescent="0.3">
      <c r="A225" s="2"/>
    </row>
    <row r="226" spans="1:1" x14ac:dyDescent="0.3">
      <c r="A226" s="2"/>
    </row>
    <row r="227" spans="1:1" x14ac:dyDescent="0.3">
      <c r="A227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ht="15" x14ac:dyDescent="0.3">
      <c r="A238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ht="15" x14ac:dyDescent="0.3">
      <c r="A251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ht="15" x14ac:dyDescent="0.3">
      <c r="A264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  <row r="269" spans="1:1" x14ac:dyDescent="0.3">
      <c r="A269" s="2"/>
    </row>
    <row r="270" spans="1:1" x14ac:dyDescent="0.3">
      <c r="A270" s="2"/>
    </row>
    <row r="271" spans="1:1" x14ac:dyDescent="0.3">
      <c r="A271" s="2"/>
    </row>
    <row r="272" spans="1:1" x14ac:dyDescent="0.3">
      <c r="A272" s="2"/>
    </row>
    <row r="273" spans="1:1" x14ac:dyDescent="0.3">
      <c r="A273" s="2"/>
    </row>
    <row r="274" spans="1:1" x14ac:dyDescent="0.3">
      <c r="A274" s="2"/>
    </row>
    <row r="275" spans="1:1" x14ac:dyDescent="0.3">
      <c r="A275" s="2"/>
    </row>
    <row r="276" spans="1:1" x14ac:dyDescent="0.3">
      <c r="A276" s="2"/>
    </row>
    <row r="277" spans="1:1" ht="15" x14ac:dyDescent="0.3">
      <c r="A277"/>
    </row>
    <row r="278" spans="1:1" x14ac:dyDescent="0.3">
      <c r="A278" s="2"/>
    </row>
    <row r="279" spans="1:1" x14ac:dyDescent="0.3">
      <c r="A279" s="2"/>
    </row>
    <row r="280" spans="1:1" x14ac:dyDescent="0.3">
      <c r="A280" s="2"/>
    </row>
    <row r="281" spans="1:1" x14ac:dyDescent="0.3">
      <c r="A281" s="2"/>
    </row>
    <row r="282" spans="1:1" x14ac:dyDescent="0.3">
      <c r="A282" s="2"/>
    </row>
    <row r="283" spans="1:1" x14ac:dyDescent="0.3">
      <c r="A283" s="2"/>
    </row>
    <row r="284" spans="1:1" x14ac:dyDescent="0.3">
      <c r="A284" s="2"/>
    </row>
    <row r="285" spans="1:1" x14ac:dyDescent="0.3">
      <c r="A285" s="2"/>
    </row>
    <row r="286" spans="1:1" x14ac:dyDescent="0.3">
      <c r="A286" s="2"/>
    </row>
    <row r="287" spans="1:1" x14ac:dyDescent="0.3">
      <c r="A287" s="2"/>
    </row>
    <row r="288" spans="1:1" x14ac:dyDescent="0.3">
      <c r="A288" s="2"/>
    </row>
    <row r="289" spans="1:1" x14ac:dyDescent="0.3">
      <c r="A289" s="2"/>
    </row>
    <row r="290" spans="1:1" ht="15" x14ac:dyDescent="0.3">
      <c r="A290"/>
    </row>
    <row r="291" spans="1:1" x14ac:dyDescent="0.3">
      <c r="A291" s="2"/>
    </row>
    <row r="292" spans="1:1" x14ac:dyDescent="0.3">
      <c r="A292" s="2"/>
    </row>
    <row r="293" spans="1:1" x14ac:dyDescent="0.3">
      <c r="A293" s="2"/>
    </row>
    <row r="294" spans="1:1" x14ac:dyDescent="0.3">
      <c r="A294" s="2"/>
    </row>
    <row r="295" spans="1:1" x14ac:dyDescent="0.3">
      <c r="A295" s="2"/>
    </row>
    <row r="296" spans="1:1" x14ac:dyDescent="0.3">
      <c r="A296" s="2"/>
    </row>
    <row r="297" spans="1:1" x14ac:dyDescent="0.3">
      <c r="A297" s="2"/>
    </row>
    <row r="298" spans="1:1" x14ac:dyDescent="0.3">
      <c r="A298" s="2"/>
    </row>
    <row r="299" spans="1:1" x14ac:dyDescent="0.3">
      <c r="A299" s="2"/>
    </row>
    <row r="300" spans="1:1" x14ac:dyDescent="0.3">
      <c r="A300" s="2"/>
    </row>
    <row r="301" spans="1:1" x14ac:dyDescent="0.3">
      <c r="A301" s="2"/>
    </row>
    <row r="302" spans="1:1" x14ac:dyDescent="0.3">
      <c r="A302" s="2"/>
    </row>
  </sheetData>
  <mergeCells count="7">
    <mergeCell ref="BK4:BN5"/>
    <mergeCell ref="CB6:CC6"/>
    <mergeCell ref="B86:P86"/>
    <mergeCell ref="B87:P87"/>
    <mergeCell ref="G74:P85"/>
    <mergeCell ref="B4:C5"/>
    <mergeCell ref="G6:H6"/>
  </mergeCells>
  <printOptions horizontalCentered="1" verticalCentered="1"/>
  <pageMargins left="0.2" right="0.2" top="0.25" bottom="0.25" header="0" footer="0"/>
  <pageSetup scale="34" orientation="landscape" r:id="rId1"/>
  <headerFooter scaleWithDoc="0"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0" tint="-0.499984740745262"/>
    <pageSetUpPr fitToPage="1"/>
  </sheetPr>
  <dimension ref="A1:CJ302"/>
  <sheetViews>
    <sheetView showGridLines="0" zoomScale="50" zoomScaleNormal="50" workbookViewId="0">
      <selection activeCell="C9" sqref="C9"/>
    </sheetView>
  </sheetViews>
  <sheetFormatPr defaultColWidth="6.69140625" defaultRowHeight="14" x14ac:dyDescent="0.3"/>
  <cols>
    <col min="1" max="1" width="5.53515625" style="1" customWidth="1"/>
    <col min="2" max="2" width="18.07421875" style="1" bestFit="1" customWidth="1"/>
    <col min="3" max="3" width="24.23046875" style="1" customWidth="1"/>
    <col min="4" max="4" width="7.4609375" style="14" customWidth="1"/>
    <col min="5" max="5" width="24.23046875" style="1" customWidth="1"/>
    <col min="6" max="6" width="7.4609375" style="14" customWidth="1"/>
    <col min="7" max="7" width="24.23046875" style="1" customWidth="1"/>
    <col min="8" max="8" width="7.4609375" style="14" customWidth="1"/>
    <col min="9" max="9" width="24.23046875" style="1" customWidth="1"/>
    <col min="10" max="10" width="7.4609375" style="14" customWidth="1"/>
    <col min="11" max="11" width="24.23046875" style="1" customWidth="1"/>
    <col min="12" max="12" width="7.4609375" style="14" customWidth="1"/>
    <col min="13" max="13" width="24.23046875" style="1" customWidth="1"/>
    <col min="14" max="14" width="7.4609375" style="14" customWidth="1"/>
    <col min="15" max="15" width="24.23046875" style="1" customWidth="1"/>
    <col min="16" max="16" width="7.4609375" style="14" customWidth="1"/>
    <col min="17" max="17" width="13.3046875" style="1" customWidth="1"/>
    <col min="18" max="18" width="31.3046875" style="1" customWidth="1"/>
    <col min="19" max="19" width="11.84375" style="1" customWidth="1"/>
    <col min="20" max="20" width="11.3046875" style="1" customWidth="1"/>
    <col min="21" max="16384" width="6.69140625" style="1"/>
  </cols>
  <sheetData>
    <row r="1" spans="1:88" ht="49.75" customHeight="1" x14ac:dyDescent="0.3">
      <c r="R1" s="46"/>
      <c r="S1" s="46"/>
    </row>
    <row r="2" spans="1:88" ht="13.75" customHeight="1" x14ac:dyDescent="0.3">
      <c r="R2" s="46"/>
      <c r="S2" s="46"/>
    </row>
    <row r="3" spans="1:88" ht="19.399999999999999" customHeight="1" x14ac:dyDescent="0.3">
      <c r="B3" s="9"/>
      <c r="R3" s="46"/>
      <c r="S3" s="46"/>
      <c r="BB3" s="9"/>
      <c r="BC3" s="9"/>
      <c r="BD3" s="9"/>
    </row>
    <row r="4" spans="1:88" ht="43.75" customHeight="1" x14ac:dyDescent="0.65">
      <c r="B4" s="172"/>
      <c r="C4" s="172"/>
      <c r="R4" s="46"/>
      <c r="S4" s="46"/>
      <c r="BB4" s="9"/>
      <c r="BC4" s="9"/>
      <c r="BD4" s="9"/>
      <c r="BK4" s="160"/>
      <c r="BL4" s="160"/>
      <c r="BM4" s="160"/>
      <c r="BN4" s="160"/>
      <c r="CG4" s="11"/>
      <c r="CH4" s="13"/>
      <c r="CI4" s="11"/>
    </row>
    <row r="5" spans="1:88" ht="30" customHeight="1" x14ac:dyDescent="0.65">
      <c r="B5" s="172"/>
      <c r="C5" s="172"/>
      <c r="D5" s="15"/>
      <c r="F5" s="15"/>
      <c r="H5" s="15"/>
      <c r="I5" s="9"/>
      <c r="J5" s="15"/>
      <c r="K5" s="9"/>
      <c r="L5" s="15"/>
      <c r="M5" s="9"/>
      <c r="N5" s="15"/>
      <c r="O5" s="9"/>
      <c r="P5" s="15"/>
      <c r="R5" s="44"/>
      <c r="S5" s="44"/>
      <c r="BB5" s="9"/>
      <c r="BC5" s="9"/>
      <c r="BD5" s="9"/>
      <c r="BH5" s="9"/>
      <c r="BI5" s="9"/>
      <c r="BJ5" s="9"/>
      <c r="BK5" s="160"/>
      <c r="BL5" s="160"/>
      <c r="BM5" s="160"/>
      <c r="BN5" s="160"/>
      <c r="BO5" s="9"/>
      <c r="BP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12"/>
      <c r="CH5" s="12"/>
      <c r="CI5" s="12"/>
      <c r="CJ5" s="9"/>
    </row>
    <row r="6" spans="1:88" ht="48.65" customHeight="1" x14ac:dyDescent="0.65">
      <c r="F6" s="16"/>
      <c r="G6" s="173" t="s">
        <v>19</v>
      </c>
      <c r="H6" s="173"/>
      <c r="I6" s="59" t="str">
        <f>UPPER(TEXT(DATE(CalendarYear,1,1)," yyyy"))</f>
        <v xml:space="preserve"> 2021</v>
      </c>
      <c r="J6" s="16"/>
      <c r="K6" s="7"/>
      <c r="L6" s="16"/>
      <c r="N6" s="16"/>
      <c r="R6" s="43"/>
      <c r="S6" s="43"/>
      <c r="BO6" s="7"/>
      <c r="BP6" s="8"/>
      <c r="BR6" s="7"/>
      <c r="BS6" s="8"/>
      <c r="BT6" s="7"/>
      <c r="BU6" s="7"/>
      <c r="BV6" s="8"/>
      <c r="BW6" s="7"/>
      <c r="BX6" s="7"/>
      <c r="BY6" s="8"/>
      <c r="CA6" s="7"/>
      <c r="CB6" s="161"/>
      <c r="CC6" s="161"/>
      <c r="CD6" s="10"/>
      <c r="CE6" s="8"/>
      <c r="CG6" s="11"/>
      <c r="CH6" s="11"/>
      <c r="CI6" s="11"/>
    </row>
    <row r="7" spans="1:88" customFormat="1" ht="26.25" customHeight="1" x14ac:dyDescent="0.3">
      <c r="A7" s="1"/>
      <c r="B7" s="20"/>
      <c r="C7" s="60" t="s">
        <v>7</v>
      </c>
      <c r="D7" s="60"/>
      <c r="E7" s="60" t="s">
        <v>8</v>
      </c>
      <c r="F7" s="60"/>
      <c r="G7" s="60" t="s">
        <v>9</v>
      </c>
      <c r="H7" s="60"/>
      <c r="I7" s="60" t="s">
        <v>10</v>
      </c>
      <c r="J7" s="60"/>
      <c r="K7" s="60" t="s">
        <v>11</v>
      </c>
      <c r="L7" s="60"/>
      <c r="M7" s="60" t="s">
        <v>12</v>
      </c>
      <c r="N7" s="60"/>
      <c r="O7" s="60" t="s">
        <v>13</v>
      </c>
      <c r="P7" s="45"/>
      <c r="Q7" s="1"/>
      <c r="S7" s="1"/>
      <c r="T7" s="6"/>
      <c r="X7" s="1"/>
      <c r="Y7" s="1"/>
    </row>
    <row r="8" spans="1:88" s="51" customFormat="1" ht="18" customHeight="1" x14ac:dyDescent="0.3">
      <c r="B8" s="52"/>
      <c r="C8" s="55" t="str">
        <f>IF(DAY(JunSun1)=1,"",IF(AND(YEAR(JunSun1+1)=CalendarYear,MONTH(JunSun1+1)=6),JunSun1+1,""))</f>
        <v/>
      </c>
      <c r="D8" s="61" t="s">
        <v>29</v>
      </c>
      <c r="E8" s="55">
        <f>IF(DAY(JunSun1)=1,"",IF(AND(YEAR(JunSun1+2)=CalendarYear,MONTH(JunSun1+2)=6),JunSun1+2,""))</f>
        <v>44348</v>
      </c>
      <c r="F8" s="61" t="s">
        <v>29</v>
      </c>
      <c r="G8" s="56">
        <f>IF(DAY(JunSun1)=1,"",IF(AND(YEAR(JunSun1+3)=CalendarYear,MONTH(JunSun1+3)=6),JunSun1+3,""))</f>
        <v>44349</v>
      </c>
      <c r="H8" s="61" t="s">
        <v>29</v>
      </c>
      <c r="I8" s="56">
        <f>IF(DAY(JunSun1)=1,"",IF(AND(YEAR(JunSun1+4)=CalendarYear,MONTH(JunSun1+4)=6),JunSun1+4,""))</f>
        <v>44350</v>
      </c>
      <c r="J8" s="61" t="s">
        <v>29</v>
      </c>
      <c r="K8" s="56">
        <f>IF(DAY(JunSun1)=1,"",IF(AND(YEAR(JunSun1+5)=CalendarYear,MONTH(JunSun1+5)=6),JunSun1+5,""))</f>
        <v>44351</v>
      </c>
      <c r="L8" s="61" t="s">
        <v>29</v>
      </c>
      <c r="M8" s="56">
        <f>IF(DAY(JunSun1)=1,"",IF(AND(YEAR(JunSun1+6)=CalendarYear,MONTH(JunSun1+6)=6),JunSun1+6,""))</f>
        <v>44352</v>
      </c>
      <c r="N8" s="61" t="s">
        <v>29</v>
      </c>
      <c r="O8" s="56">
        <f>IF(DAY(JunSun1)=1,IF(AND(YEAR(JunSun1)=CalendarYear,MONTH(JunSun1)=6),JunSun1,""),IF(AND(YEAR(JunSun1+7)=CalendarYear,MONTH(JunSun1+7)=6),JunSun1+7,""))</f>
        <v>44353</v>
      </c>
      <c r="P8" s="61" t="s">
        <v>29</v>
      </c>
      <c r="Q8" s="47"/>
      <c r="T8" s="53"/>
      <c r="U8" s="54"/>
    </row>
    <row r="9" spans="1:88" s="23" customFormat="1" ht="17.5" customHeight="1" x14ac:dyDescent="0.45">
      <c r="B9" s="50" t="s">
        <v>1</v>
      </c>
      <c r="C9" s="25"/>
      <c r="D9" s="26"/>
      <c r="E9" s="25"/>
      <c r="F9" s="26"/>
      <c r="G9" s="27"/>
      <c r="H9" s="26"/>
      <c r="I9" s="27"/>
      <c r="J9" s="26"/>
      <c r="K9" s="27"/>
      <c r="L9" s="26"/>
      <c r="M9" s="27"/>
      <c r="N9" s="26"/>
      <c r="O9" s="27"/>
      <c r="P9" s="26"/>
      <c r="Q9" s="22"/>
    </row>
    <row r="10" spans="1:88" s="23" customFormat="1" ht="17.5" customHeight="1" x14ac:dyDescent="0.45">
      <c r="B10" s="50" t="s">
        <v>2</v>
      </c>
      <c r="C10" s="28"/>
      <c r="D10" s="29"/>
      <c r="E10" s="28"/>
      <c r="F10" s="29"/>
      <c r="G10" s="30"/>
      <c r="H10" s="29"/>
      <c r="I10" s="30"/>
      <c r="J10" s="29"/>
      <c r="K10" s="30"/>
      <c r="L10" s="29"/>
      <c r="M10" s="30"/>
      <c r="N10" s="29"/>
      <c r="O10" s="30"/>
      <c r="P10" s="29"/>
      <c r="Q10" s="22"/>
    </row>
    <row r="11" spans="1:88" s="23" customFormat="1" ht="17.5" customHeight="1" x14ac:dyDescent="0.45">
      <c r="B11" s="50" t="s">
        <v>3</v>
      </c>
      <c r="C11" s="28"/>
      <c r="D11" s="29"/>
      <c r="E11" s="28"/>
      <c r="F11" s="29"/>
      <c r="G11" s="30"/>
      <c r="H11" s="29"/>
      <c r="I11" s="30"/>
      <c r="J11" s="29"/>
      <c r="K11" s="30"/>
      <c r="L11" s="29"/>
      <c r="M11" s="30"/>
      <c r="N11" s="29"/>
      <c r="O11" s="30"/>
      <c r="P11" s="29"/>
      <c r="Q11" s="22"/>
    </row>
    <row r="12" spans="1:88" s="23" customFormat="1" ht="17.5" customHeight="1" x14ac:dyDescent="0.45">
      <c r="B12" s="50" t="s">
        <v>4</v>
      </c>
      <c r="C12" s="28"/>
      <c r="D12" s="29"/>
      <c r="E12" s="28"/>
      <c r="F12" s="29"/>
      <c r="G12" s="30"/>
      <c r="H12" s="29"/>
      <c r="I12" s="30"/>
      <c r="J12" s="29"/>
      <c r="K12" s="30"/>
      <c r="L12" s="29"/>
      <c r="M12" s="30"/>
      <c r="N12" s="29"/>
      <c r="O12" s="30"/>
      <c r="P12" s="29"/>
      <c r="Q12" s="22"/>
    </row>
    <row r="13" spans="1:88" s="23" customFormat="1" ht="17.5" customHeight="1" x14ac:dyDescent="0.45">
      <c r="B13" s="50" t="s">
        <v>2</v>
      </c>
      <c r="C13" s="28"/>
      <c r="D13" s="29"/>
      <c r="E13" s="28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22"/>
    </row>
    <row r="14" spans="1:88" s="23" customFormat="1" ht="17.5" customHeight="1" x14ac:dyDescent="0.45">
      <c r="B14" s="50"/>
      <c r="C14" s="28"/>
      <c r="D14" s="29"/>
      <c r="E14" s="28"/>
      <c r="F14" s="29"/>
      <c r="G14" s="30"/>
      <c r="H14" s="29"/>
      <c r="I14" s="30"/>
      <c r="J14" s="29"/>
      <c r="K14" s="30"/>
      <c r="L14" s="29"/>
      <c r="M14" s="30"/>
      <c r="N14" s="29"/>
      <c r="O14" s="30"/>
      <c r="P14" s="29"/>
      <c r="Q14" s="22"/>
    </row>
    <row r="15" spans="1:88" s="23" customFormat="1" ht="17.5" customHeight="1" x14ac:dyDescent="0.45">
      <c r="B15" s="50" t="s">
        <v>6</v>
      </c>
      <c r="C15" s="28"/>
      <c r="D15" s="29"/>
      <c r="E15" s="28"/>
      <c r="F15" s="29"/>
      <c r="G15" s="30"/>
      <c r="H15" s="29"/>
      <c r="I15" s="30"/>
      <c r="J15" s="29"/>
      <c r="K15" s="30"/>
      <c r="L15" s="29"/>
      <c r="M15" s="30"/>
      <c r="N15" s="29"/>
      <c r="O15" s="30"/>
      <c r="P15" s="29"/>
      <c r="Q15" s="22"/>
    </row>
    <row r="16" spans="1:88" s="23" customFormat="1" ht="17.5" customHeight="1" x14ac:dyDescent="0.45">
      <c r="B16" s="50"/>
      <c r="C16" s="28"/>
      <c r="D16" s="29"/>
      <c r="E16" s="28"/>
      <c r="F16" s="29"/>
      <c r="G16" s="30"/>
      <c r="H16" s="29"/>
      <c r="I16" s="30"/>
      <c r="J16" s="29"/>
      <c r="K16" s="30"/>
      <c r="L16" s="29"/>
      <c r="M16" s="30"/>
      <c r="N16" s="29"/>
      <c r="O16" s="30"/>
      <c r="P16" s="29"/>
      <c r="Q16" s="22"/>
    </row>
    <row r="17" spans="2:21" s="23" customFormat="1" ht="17.5" customHeight="1" x14ac:dyDescent="0.35">
      <c r="B17" s="48"/>
      <c r="C17" s="28"/>
      <c r="D17" s="29"/>
      <c r="E17" s="28"/>
      <c r="F17" s="29"/>
      <c r="G17" s="30"/>
      <c r="H17" s="29"/>
      <c r="I17" s="30"/>
      <c r="J17" s="29"/>
      <c r="K17" s="30"/>
      <c r="L17" s="29"/>
      <c r="M17" s="30"/>
      <c r="N17" s="29"/>
      <c r="O17" s="30"/>
      <c r="P17" s="29"/>
      <c r="Q17" s="22"/>
    </row>
    <row r="18" spans="2:21" s="23" customFormat="1" ht="17.5" customHeight="1" x14ac:dyDescent="0.35">
      <c r="B18" s="48"/>
      <c r="C18" s="28"/>
      <c r="D18" s="29"/>
      <c r="E18" s="28"/>
      <c r="F18" s="29"/>
      <c r="G18" s="30"/>
      <c r="H18" s="29"/>
      <c r="I18" s="30"/>
      <c r="J18" s="29"/>
      <c r="K18" s="30"/>
      <c r="L18" s="29"/>
      <c r="M18" s="30"/>
      <c r="N18" s="29"/>
      <c r="O18" s="30"/>
      <c r="P18" s="29"/>
      <c r="Q18" s="22"/>
    </row>
    <row r="19" spans="2:21" s="23" customFormat="1" ht="17.5" customHeight="1" x14ac:dyDescent="0.35">
      <c r="B19" s="48"/>
      <c r="C19" s="28"/>
      <c r="D19" s="29"/>
      <c r="E19" s="28"/>
      <c r="F19" s="29"/>
      <c r="G19" s="30"/>
      <c r="H19" s="29"/>
      <c r="I19" s="30"/>
      <c r="J19" s="29"/>
      <c r="K19" s="30"/>
      <c r="L19" s="29"/>
      <c r="M19" s="30"/>
      <c r="N19" s="29"/>
      <c r="O19" s="30"/>
      <c r="P19" s="29"/>
      <c r="Q19" s="22"/>
    </row>
    <row r="20" spans="2:21" s="23" customFormat="1" ht="17.5" customHeight="1" x14ac:dyDescent="0.35">
      <c r="B20" s="49"/>
      <c r="C20" s="31" t="s">
        <v>5</v>
      </c>
      <c r="D20" s="32"/>
      <c r="E20" s="31" t="s">
        <v>5</v>
      </c>
      <c r="F20" s="32"/>
      <c r="G20" s="33" t="s">
        <v>5</v>
      </c>
      <c r="H20" s="32"/>
      <c r="I20" s="33" t="s">
        <v>5</v>
      </c>
      <c r="J20" s="32"/>
      <c r="K20" s="33" t="s">
        <v>5</v>
      </c>
      <c r="L20" s="32"/>
      <c r="M20" s="33" t="s">
        <v>5</v>
      </c>
      <c r="N20" s="32"/>
      <c r="O20" s="33" t="s">
        <v>5</v>
      </c>
      <c r="P20" s="32"/>
      <c r="Q20" s="22"/>
    </row>
    <row r="21" spans="2:21" s="51" customFormat="1" ht="18" customHeight="1" x14ac:dyDescent="0.3">
      <c r="B21" s="52"/>
      <c r="C21" s="55">
        <f>IF(DAY(JunSun1)=1,IF(AND(YEAR(JunSun1+1)=CalendarYear,MONTH(JunSun1+1)=6),JunSun1+1,""),IF(AND(YEAR(JunSun1+8)=CalendarYear,MONTH(JunSun1+8)=6),JunSun1+8,""))</f>
        <v>44354</v>
      </c>
      <c r="D21" s="61" t="s">
        <v>29</v>
      </c>
      <c r="E21" s="55">
        <f>IF(DAY(JunSun1)=1,IF(AND(YEAR(JunSun1+2)=CalendarYear,MONTH(JunSun1+2)=6),JunSun1+2,""),IF(AND(YEAR(JunSun1+9)=CalendarYear,MONTH(JunSun1+9)=6),JunSun1+9,""))</f>
        <v>44355</v>
      </c>
      <c r="F21" s="61" t="s">
        <v>29</v>
      </c>
      <c r="G21" s="56">
        <f>IF(DAY(JunSun1)=1,IF(AND(YEAR(JunSun1+3)=CalendarYear,MONTH(JunSun1+3)=6),JunSun1+3,""),IF(AND(YEAR(JunSun1+10)=CalendarYear,MONTH(JunSun1+10)=6),JunSun1+10,""))</f>
        <v>44356</v>
      </c>
      <c r="H21" s="61" t="s">
        <v>29</v>
      </c>
      <c r="I21" s="56">
        <f>IF(DAY(JunSun1)=1,IF(AND(YEAR(JunSun1+4)=CalendarYear,MONTH(JunSun1+4)=6),JunSun1+4,""),IF(AND(YEAR(JunSun1+11)=CalendarYear,MONTH(JunSun1+11)=6),JunSun1+11,""))</f>
        <v>44357</v>
      </c>
      <c r="J21" s="61" t="s">
        <v>29</v>
      </c>
      <c r="K21" s="56">
        <f>IF(DAY(JunSun1)=1,IF(AND(YEAR(JunSun1+5)=CalendarYear,MONTH(JunSun1+5)=6),JunSun1+5,""),IF(AND(YEAR(JunSun1+12)=CalendarYear,MONTH(JunSun1+12)=6),JunSun1+12,""))</f>
        <v>44358</v>
      </c>
      <c r="L21" s="61" t="s">
        <v>29</v>
      </c>
      <c r="M21" s="56">
        <f>IF(DAY(JunSun1)=1,IF(AND(YEAR(JunSun1+6)=CalendarYear,MONTH(JunSun1+6)=6),JunSun1+6,""),IF(AND(YEAR(JunSun1+13)=CalendarYear,MONTH(JunSun1+13)=6),JunSun1+13,""))</f>
        <v>44359</v>
      </c>
      <c r="N21" s="61" t="s">
        <v>29</v>
      </c>
      <c r="O21" s="56">
        <f>IF(DAY(JunSun1)=1,IF(AND(YEAR(JunSun1+7)=CalendarYear,MONTH(JunSun1+7)=6),JunSun1+7,""),IF(AND(YEAR(JunSun1+14)=CalendarYear,MONTH(JunSun1+14)=6),JunSun1+14,""))</f>
        <v>44360</v>
      </c>
      <c r="P21" s="61" t="s">
        <v>29</v>
      </c>
      <c r="Q21" s="47"/>
      <c r="T21" s="53"/>
      <c r="U21" s="54"/>
    </row>
    <row r="22" spans="2:21" s="23" customFormat="1" ht="17.5" customHeight="1" x14ac:dyDescent="0.45">
      <c r="B22" s="50" t="s">
        <v>1</v>
      </c>
      <c r="C22" s="34"/>
      <c r="D22" s="35"/>
      <c r="E22" s="34"/>
      <c r="F22" s="35"/>
      <c r="G22" s="36"/>
      <c r="H22" s="35"/>
      <c r="I22" s="36"/>
      <c r="J22" s="35"/>
      <c r="K22" s="36"/>
      <c r="L22" s="35"/>
      <c r="M22" s="36"/>
      <c r="N22" s="35"/>
      <c r="O22" s="36"/>
      <c r="P22" s="35"/>
      <c r="Q22" s="22"/>
    </row>
    <row r="23" spans="2:21" s="23" customFormat="1" ht="17.5" customHeight="1" x14ac:dyDescent="0.45">
      <c r="B23" s="50" t="s">
        <v>2</v>
      </c>
      <c r="C23" s="37"/>
      <c r="D23" s="38"/>
      <c r="E23" s="37"/>
      <c r="F23" s="38"/>
      <c r="G23" s="39"/>
      <c r="H23" s="38"/>
      <c r="I23" s="39"/>
      <c r="J23" s="38"/>
      <c r="K23" s="39"/>
      <c r="L23" s="38"/>
      <c r="M23" s="39"/>
      <c r="N23" s="38"/>
      <c r="O23" s="39"/>
      <c r="P23" s="38"/>
      <c r="Q23" s="22"/>
    </row>
    <row r="24" spans="2:21" s="23" customFormat="1" ht="17.5" customHeight="1" x14ac:dyDescent="0.45">
      <c r="B24" s="50" t="s">
        <v>3</v>
      </c>
      <c r="C24" s="37"/>
      <c r="D24" s="38"/>
      <c r="E24" s="37"/>
      <c r="F24" s="38"/>
      <c r="G24" s="39"/>
      <c r="H24" s="38"/>
      <c r="I24" s="39"/>
      <c r="J24" s="38"/>
      <c r="K24" s="39"/>
      <c r="L24" s="38"/>
      <c r="M24" s="39"/>
      <c r="N24" s="38"/>
      <c r="O24" s="39"/>
      <c r="P24" s="38"/>
      <c r="Q24" s="22"/>
    </row>
    <row r="25" spans="2:21" s="23" customFormat="1" ht="17.5" customHeight="1" x14ac:dyDescent="0.45">
      <c r="B25" s="50" t="s">
        <v>4</v>
      </c>
      <c r="C25" s="37"/>
      <c r="D25" s="38"/>
      <c r="E25" s="37"/>
      <c r="F25" s="38"/>
      <c r="G25" s="39"/>
      <c r="H25" s="38"/>
      <c r="I25" s="39"/>
      <c r="J25" s="38"/>
      <c r="K25" s="39"/>
      <c r="L25" s="38"/>
      <c r="M25" s="39"/>
      <c r="N25" s="38"/>
      <c r="O25" s="39"/>
      <c r="P25" s="38"/>
      <c r="Q25" s="22"/>
    </row>
    <row r="26" spans="2:21" s="23" customFormat="1" ht="17.5" customHeight="1" x14ac:dyDescent="0.45">
      <c r="B26" s="50" t="s">
        <v>2</v>
      </c>
      <c r="C26" s="37"/>
      <c r="D26" s="38"/>
      <c r="E26" s="37"/>
      <c r="F26" s="38"/>
      <c r="G26" s="39"/>
      <c r="H26" s="38"/>
      <c r="I26" s="39"/>
      <c r="J26" s="38"/>
      <c r="K26" s="39"/>
      <c r="L26" s="38"/>
      <c r="M26" s="39"/>
      <c r="N26" s="38"/>
      <c r="O26" s="39"/>
      <c r="P26" s="38"/>
      <c r="Q26" s="22"/>
    </row>
    <row r="27" spans="2:21" s="23" customFormat="1" ht="17.5" customHeight="1" x14ac:dyDescent="0.45">
      <c r="B27" s="50"/>
      <c r="C27" s="37"/>
      <c r="D27" s="38"/>
      <c r="E27" s="37"/>
      <c r="F27" s="38"/>
      <c r="G27" s="39"/>
      <c r="H27" s="38"/>
      <c r="I27" s="39"/>
      <c r="J27" s="38"/>
      <c r="K27" s="39"/>
      <c r="L27" s="38"/>
      <c r="M27" s="39"/>
      <c r="N27" s="38"/>
      <c r="O27" s="39"/>
      <c r="P27" s="38"/>
      <c r="Q27" s="22"/>
    </row>
    <row r="28" spans="2:21" s="23" customFormat="1" ht="17.5" customHeight="1" x14ac:dyDescent="0.45">
      <c r="B28" s="50" t="s">
        <v>6</v>
      </c>
      <c r="C28" s="37"/>
      <c r="D28" s="38"/>
      <c r="E28" s="37"/>
      <c r="F28" s="38"/>
      <c r="G28" s="39"/>
      <c r="H28" s="38"/>
      <c r="I28" s="39"/>
      <c r="J28" s="38"/>
      <c r="K28" s="39"/>
      <c r="L28" s="38"/>
      <c r="M28" s="39"/>
      <c r="N28" s="38"/>
      <c r="O28" s="39"/>
      <c r="P28" s="38"/>
      <c r="Q28" s="22"/>
    </row>
    <row r="29" spans="2:21" s="23" customFormat="1" ht="17.5" customHeight="1" x14ac:dyDescent="0.35">
      <c r="B29" s="48"/>
      <c r="C29" s="37"/>
      <c r="D29" s="38"/>
      <c r="E29" s="37"/>
      <c r="F29" s="38"/>
      <c r="G29" s="39"/>
      <c r="H29" s="38"/>
      <c r="I29" s="39"/>
      <c r="J29" s="38"/>
      <c r="K29" s="39"/>
      <c r="L29" s="38"/>
      <c r="M29" s="39"/>
      <c r="N29" s="38"/>
      <c r="O29" s="39"/>
      <c r="P29" s="38"/>
      <c r="Q29" s="22"/>
    </row>
    <row r="30" spans="2:21" s="23" customFormat="1" ht="17.5" customHeight="1" x14ac:dyDescent="0.35">
      <c r="B30" s="48"/>
      <c r="C30" s="37"/>
      <c r="D30" s="38"/>
      <c r="E30" s="37"/>
      <c r="F30" s="38"/>
      <c r="G30" s="39"/>
      <c r="H30" s="38"/>
      <c r="I30" s="39"/>
      <c r="J30" s="38"/>
      <c r="K30" s="39"/>
      <c r="L30" s="38"/>
      <c r="M30" s="39"/>
      <c r="N30" s="38"/>
      <c r="O30" s="39"/>
      <c r="P30" s="38"/>
      <c r="Q30" s="22"/>
    </row>
    <row r="31" spans="2:21" s="23" customFormat="1" ht="17.5" customHeight="1" x14ac:dyDescent="0.35">
      <c r="B31" s="48"/>
      <c r="C31" s="37"/>
      <c r="D31" s="38"/>
      <c r="E31" s="37"/>
      <c r="F31" s="38"/>
      <c r="G31" s="39"/>
      <c r="H31" s="38"/>
      <c r="I31" s="39"/>
      <c r="J31" s="38"/>
      <c r="K31" s="39"/>
      <c r="L31" s="38"/>
      <c r="M31" s="39"/>
      <c r="N31" s="38"/>
      <c r="O31" s="39"/>
      <c r="P31" s="38"/>
      <c r="Q31" s="22"/>
    </row>
    <row r="32" spans="2:21" s="23" customFormat="1" ht="17.5" customHeight="1" x14ac:dyDescent="0.35">
      <c r="B32" s="48"/>
      <c r="C32" s="37"/>
      <c r="D32" s="38"/>
      <c r="E32" s="37"/>
      <c r="F32" s="38"/>
      <c r="G32" s="39"/>
      <c r="H32" s="38"/>
      <c r="I32" s="39"/>
      <c r="J32" s="38"/>
      <c r="K32" s="39"/>
      <c r="L32" s="38"/>
      <c r="M32" s="39"/>
      <c r="N32" s="38"/>
      <c r="O32" s="39"/>
      <c r="P32" s="38"/>
      <c r="Q32" s="22"/>
    </row>
    <row r="33" spans="2:21" s="23" customFormat="1" ht="17.5" customHeight="1" x14ac:dyDescent="0.35">
      <c r="B33" s="49"/>
      <c r="C33" s="40" t="s">
        <v>5</v>
      </c>
      <c r="D33" s="41"/>
      <c r="E33" s="40" t="s">
        <v>5</v>
      </c>
      <c r="F33" s="41"/>
      <c r="G33" s="42" t="s">
        <v>5</v>
      </c>
      <c r="H33" s="41"/>
      <c r="I33" s="42" t="s">
        <v>5</v>
      </c>
      <c r="J33" s="41"/>
      <c r="K33" s="42" t="s">
        <v>5</v>
      </c>
      <c r="L33" s="41"/>
      <c r="M33" s="42" t="s">
        <v>5</v>
      </c>
      <c r="N33" s="41"/>
      <c r="O33" s="42" t="s">
        <v>5</v>
      </c>
      <c r="P33" s="41"/>
      <c r="Q33" s="22"/>
    </row>
    <row r="34" spans="2:21" s="51" customFormat="1" ht="18" customHeight="1" x14ac:dyDescent="0.3">
      <c r="B34" s="52"/>
      <c r="C34" s="55">
        <f>IF(DAY(JunSun1)=1,IF(AND(YEAR(JunSun1+8)=CalendarYear,MONTH(JunSun1+8)=6),JunSun1+8,""),IF(AND(YEAR(JunSun1+15)=CalendarYear,MONTH(JunSun1+15)=6),JunSun1+15,""))</f>
        <v>44361</v>
      </c>
      <c r="D34" s="61" t="s">
        <v>29</v>
      </c>
      <c r="E34" s="55">
        <f>IF(DAY(JunSun1)=1,IF(AND(YEAR(JunSun1+9)=CalendarYear,MONTH(JunSun1+9)=6),JunSun1+9,""),IF(AND(YEAR(JunSun1+16)=CalendarYear,MONTH(JunSun1+16)=6),JunSun1+16,""))</f>
        <v>44362</v>
      </c>
      <c r="F34" s="61" t="s">
        <v>29</v>
      </c>
      <c r="G34" s="56">
        <f>IF(DAY(JunSun1)=1,IF(AND(YEAR(JunSun1+10)=CalendarYear,MONTH(JunSun1+10)=6),JunSun1+10,""),IF(AND(YEAR(JunSun1+17)=CalendarYear,MONTH(JunSun1+17)=6),JunSun1+17,""))</f>
        <v>44363</v>
      </c>
      <c r="H34" s="61" t="s">
        <v>29</v>
      </c>
      <c r="I34" s="56">
        <f>IF(DAY(JunSun1)=1,IF(AND(YEAR(JunSun1+11)=CalendarYear,MONTH(JunSun1+11)=6),JunSun1+11,""),IF(AND(YEAR(JunSun1+18)=CalendarYear,MONTH(JunSun1+18)=6),JunSun1+18,""))</f>
        <v>44364</v>
      </c>
      <c r="J34" s="61" t="s">
        <v>29</v>
      </c>
      <c r="K34" s="56">
        <f>IF(DAY(JunSun1)=1,IF(AND(YEAR(JunSun1+12)=CalendarYear,MONTH(JunSun1+12)=6),JunSun1+12,""),IF(AND(YEAR(JunSun1+19)=CalendarYear,MONTH(JunSun1+19)=6),JunSun1+19,""))</f>
        <v>44365</v>
      </c>
      <c r="L34" s="61" t="s">
        <v>29</v>
      </c>
      <c r="M34" s="56">
        <f>IF(DAY(JunSun1)=1,IF(AND(YEAR(JunSun1+13)=CalendarYear,MONTH(JunSun1+13)=6),JunSun1+13,""),IF(AND(YEAR(JunSun1+20)=CalendarYear,MONTH(JunSun1+20)=6),JunSun1+20,""))</f>
        <v>44366</v>
      </c>
      <c r="N34" s="61" t="s">
        <v>29</v>
      </c>
      <c r="O34" s="56">
        <f>IF(DAY(JunSun1)=1,IF(AND(YEAR(JunSun1+14)=CalendarYear,MONTH(JunSun1+14)=6),JunSun1+14,""),IF(AND(YEAR(JunSun1+21)=CalendarYear,MONTH(JunSun1+21)=6),JunSun1+21,""))</f>
        <v>44367</v>
      </c>
      <c r="P34" s="61" t="s">
        <v>29</v>
      </c>
      <c r="Q34" s="47"/>
      <c r="T34" s="53"/>
      <c r="U34" s="54"/>
    </row>
    <row r="35" spans="2:21" s="23" customFormat="1" ht="17.5" customHeight="1" x14ac:dyDescent="0.45">
      <c r="B35" s="50" t="s">
        <v>1</v>
      </c>
      <c r="C35" s="25"/>
      <c r="D35" s="26"/>
      <c r="E35" s="25"/>
      <c r="F35" s="26"/>
      <c r="G35" s="27"/>
      <c r="H35" s="26"/>
      <c r="I35" s="27"/>
      <c r="J35" s="26"/>
      <c r="K35" s="27"/>
      <c r="L35" s="26"/>
      <c r="M35" s="27"/>
      <c r="N35" s="26"/>
      <c r="O35" s="27"/>
      <c r="P35" s="26"/>
      <c r="Q35" s="22"/>
    </row>
    <row r="36" spans="2:21" s="23" customFormat="1" ht="17.5" customHeight="1" x14ac:dyDescent="0.45">
      <c r="B36" s="50" t="s">
        <v>2</v>
      </c>
      <c r="C36" s="28"/>
      <c r="D36" s="29"/>
      <c r="E36" s="28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22"/>
    </row>
    <row r="37" spans="2:21" s="23" customFormat="1" ht="17.5" customHeight="1" x14ac:dyDescent="0.45">
      <c r="B37" s="50" t="s">
        <v>3</v>
      </c>
      <c r="C37" s="28"/>
      <c r="D37" s="29"/>
      <c r="E37" s="28"/>
      <c r="F37" s="29"/>
      <c r="G37" s="30"/>
      <c r="H37" s="29"/>
      <c r="I37" s="30"/>
      <c r="J37" s="29"/>
      <c r="K37" s="30"/>
      <c r="L37" s="29"/>
      <c r="M37" s="30"/>
      <c r="N37" s="29"/>
      <c r="O37" s="30"/>
      <c r="P37" s="29"/>
      <c r="Q37" s="22"/>
    </row>
    <row r="38" spans="2:21" s="23" customFormat="1" ht="17.5" customHeight="1" x14ac:dyDescent="0.45">
      <c r="B38" s="50" t="s">
        <v>4</v>
      </c>
      <c r="C38" s="28"/>
      <c r="D38" s="29"/>
      <c r="E38" s="28"/>
      <c r="F38" s="29"/>
      <c r="G38" s="30"/>
      <c r="H38" s="29"/>
      <c r="I38" s="30"/>
      <c r="J38" s="29"/>
      <c r="K38" s="30"/>
      <c r="L38" s="29"/>
      <c r="M38" s="30"/>
      <c r="N38" s="29"/>
      <c r="O38" s="30"/>
      <c r="P38" s="29"/>
      <c r="Q38" s="22"/>
    </row>
    <row r="39" spans="2:21" s="23" customFormat="1" ht="17.5" customHeight="1" x14ac:dyDescent="0.45">
      <c r="B39" s="50" t="s">
        <v>2</v>
      </c>
      <c r="C39" s="28"/>
      <c r="D39" s="29"/>
      <c r="E39" s="28"/>
      <c r="F39" s="29"/>
      <c r="G39" s="30"/>
      <c r="H39" s="29"/>
      <c r="I39" s="30"/>
      <c r="J39" s="29"/>
      <c r="K39" s="30"/>
      <c r="L39" s="29"/>
      <c r="M39" s="30"/>
      <c r="N39" s="29"/>
      <c r="O39" s="30"/>
      <c r="P39" s="29"/>
      <c r="Q39" s="22"/>
    </row>
    <row r="40" spans="2:21" s="23" customFormat="1" ht="17.5" customHeight="1" x14ac:dyDescent="0.45">
      <c r="B40" s="50"/>
      <c r="C40" s="28"/>
      <c r="D40" s="29"/>
      <c r="E40" s="28"/>
      <c r="F40" s="29"/>
      <c r="G40" s="30"/>
      <c r="H40" s="29"/>
      <c r="I40" s="30"/>
      <c r="J40" s="29"/>
      <c r="K40" s="30"/>
      <c r="L40" s="29"/>
      <c r="M40" s="30"/>
      <c r="N40" s="29"/>
      <c r="O40" s="30"/>
      <c r="P40" s="29"/>
      <c r="Q40" s="22"/>
    </row>
    <row r="41" spans="2:21" s="23" customFormat="1" ht="17.5" customHeight="1" x14ac:dyDescent="0.45">
      <c r="B41" s="50" t="s">
        <v>6</v>
      </c>
      <c r="C41" s="28"/>
      <c r="D41" s="29"/>
      <c r="E41" s="28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22"/>
    </row>
    <row r="42" spans="2:21" s="23" customFormat="1" ht="17.5" customHeight="1" x14ac:dyDescent="0.35">
      <c r="B42" s="48"/>
      <c r="C42" s="28"/>
      <c r="D42" s="29"/>
      <c r="E42" s="28"/>
      <c r="F42" s="29"/>
      <c r="G42" s="30"/>
      <c r="H42" s="29"/>
      <c r="I42" s="30"/>
      <c r="J42" s="29"/>
      <c r="K42" s="30"/>
      <c r="L42" s="29"/>
      <c r="M42" s="30"/>
      <c r="N42" s="29"/>
      <c r="O42" s="30"/>
      <c r="P42" s="29"/>
      <c r="Q42" s="22"/>
    </row>
    <row r="43" spans="2:21" s="23" customFormat="1" ht="17.5" customHeight="1" x14ac:dyDescent="0.35">
      <c r="B43" s="48"/>
      <c r="C43" s="28"/>
      <c r="D43" s="29"/>
      <c r="E43" s="28"/>
      <c r="F43" s="29"/>
      <c r="G43" s="30"/>
      <c r="H43" s="29"/>
      <c r="I43" s="30"/>
      <c r="J43" s="29"/>
      <c r="K43" s="30"/>
      <c r="L43" s="29"/>
      <c r="M43" s="30"/>
      <c r="N43" s="29"/>
      <c r="O43" s="30"/>
      <c r="P43" s="29"/>
      <c r="Q43" s="22"/>
    </row>
    <row r="44" spans="2:21" s="23" customFormat="1" ht="17.5" customHeight="1" x14ac:dyDescent="0.35">
      <c r="B44" s="48"/>
      <c r="C44" s="28"/>
      <c r="D44" s="29"/>
      <c r="E44" s="28"/>
      <c r="F44" s="29"/>
      <c r="G44" s="30"/>
      <c r="H44" s="29"/>
      <c r="I44" s="30"/>
      <c r="J44" s="29"/>
      <c r="K44" s="30"/>
      <c r="L44" s="29"/>
      <c r="M44" s="30"/>
      <c r="N44" s="29"/>
      <c r="O44" s="30"/>
      <c r="P44" s="29"/>
      <c r="Q44" s="22"/>
    </row>
    <row r="45" spans="2:21" s="23" customFormat="1" ht="17.5" customHeight="1" x14ac:dyDescent="0.35">
      <c r="B45" s="48"/>
      <c r="C45" s="28"/>
      <c r="D45" s="29"/>
      <c r="E45" s="28"/>
      <c r="F45" s="29"/>
      <c r="G45" s="30"/>
      <c r="H45" s="29"/>
      <c r="I45" s="30"/>
      <c r="J45" s="29"/>
      <c r="K45" s="30"/>
      <c r="L45" s="29"/>
      <c r="M45" s="30"/>
      <c r="N45" s="29"/>
      <c r="O45" s="30"/>
      <c r="P45" s="29"/>
      <c r="Q45" s="22"/>
    </row>
    <row r="46" spans="2:21" s="23" customFormat="1" ht="17.5" customHeight="1" x14ac:dyDescent="0.35">
      <c r="B46" s="49"/>
      <c r="C46" s="31" t="s">
        <v>5</v>
      </c>
      <c r="D46" s="32"/>
      <c r="E46" s="31" t="s">
        <v>5</v>
      </c>
      <c r="F46" s="32"/>
      <c r="G46" s="33" t="s">
        <v>5</v>
      </c>
      <c r="H46" s="32"/>
      <c r="I46" s="33" t="s">
        <v>5</v>
      </c>
      <c r="J46" s="32"/>
      <c r="K46" s="33" t="s">
        <v>5</v>
      </c>
      <c r="L46" s="32"/>
      <c r="M46" s="33" t="s">
        <v>5</v>
      </c>
      <c r="N46" s="32"/>
      <c r="O46" s="33" t="s">
        <v>5</v>
      </c>
      <c r="P46" s="32"/>
      <c r="Q46" s="22"/>
    </row>
    <row r="47" spans="2:21" s="51" customFormat="1" ht="18" customHeight="1" x14ac:dyDescent="0.3">
      <c r="B47" s="52"/>
      <c r="C47" s="55">
        <f>IF(DAY(JunSun1)=1,IF(AND(YEAR(JunSun1+15)=CalendarYear,MONTH(JunSun1+15)=6),JunSun1+15,""),IF(AND(YEAR(JunSun1+22)=CalendarYear,MONTH(JunSun1+22)=6),JunSun1+22,""))</f>
        <v>44368</v>
      </c>
      <c r="D47" s="61" t="s">
        <v>29</v>
      </c>
      <c r="E47" s="55">
        <f>IF(DAY(JunSun1)=1,IF(AND(YEAR(JunSun1+16)=CalendarYear,MONTH(JunSun1+16)=6),JunSun1+16,""),IF(AND(YEAR(JunSun1+23)=CalendarYear,MONTH(JunSun1+23)=6),JunSun1+23,""))</f>
        <v>44369</v>
      </c>
      <c r="F47" s="61" t="s">
        <v>29</v>
      </c>
      <c r="G47" s="56">
        <f>IF(DAY(JunSun1)=1,IF(AND(YEAR(JunSun1+17)=CalendarYear,MONTH(JunSun1+17)=6),JunSun1+17,""),IF(AND(YEAR(JunSun1+24)=CalendarYear,MONTH(JunSun1+24)=6),JunSun1+24,""))</f>
        <v>44370</v>
      </c>
      <c r="H47" s="61" t="s">
        <v>29</v>
      </c>
      <c r="I47" s="56">
        <f>IF(DAY(JunSun1)=1,IF(AND(YEAR(JunSun1+18)=CalendarYear,MONTH(JunSun1+18)=6),JunSun1+18,""),IF(AND(YEAR(JunSun1+25)=CalendarYear,MONTH(JunSun1+25)=6),JunSun1+25,""))</f>
        <v>44371</v>
      </c>
      <c r="J47" s="61" t="s">
        <v>29</v>
      </c>
      <c r="K47" s="56">
        <f>IF(DAY(JunSun1)=1,IF(AND(YEAR(JunSun1+19)=CalendarYear,MONTH(JunSun1+19)=6),JunSun1+19,""),IF(AND(YEAR(JunSun1+26)=CalendarYear,MONTH(JunSun1+26)=6),JunSun1+26,""))</f>
        <v>44372</v>
      </c>
      <c r="L47" s="61" t="s">
        <v>29</v>
      </c>
      <c r="M47" s="56">
        <f>IF(DAY(JunSun1)=1,IF(AND(YEAR(JunSun1+20)=CalendarYear,MONTH(JunSun1+20)=6),JunSun1+20,""),IF(AND(YEAR(JunSun1+27)=CalendarYear,MONTH(JunSun1+27)=6),JunSun1+27,""))</f>
        <v>44373</v>
      </c>
      <c r="N47" s="61" t="s">
        <v>29</v>
      </c>
      <c r="O47" s="56">
        <f>IF(DAY(JunSun1)=1,IF(AND(YEAR(JunSun1+21)=CalendarYear,MONTH(JunSun1+21)=6),JunSun1+21,""),IF(AND(YEAR(JunSun1+28)=CalendarYear,MONTH(JunSun1+28)=6),JunSun1+28,""))</f>
        <v>44374</v>
      </c>
      <c r="P47" s="61" t="s">
        <v>29</v>
      </c>
      <c r="Q47" s="47"/>
      <c r="T47" s="53"/>
      <c r="U47" s="54"/>
    </row>
    <row r="48" spans="2:21" s="23" customFormat="1" ht="17.5" customHeight="1" x14ac:dyDescent="0.45">
      <c r="B48" s="50" t="s">
        <v>1</v>
      </c>
      <c r="C48" s="34"/>
      <c r="D48" s="35"/>
      <c r="E48" s="34"/>
      <c r="F48" s="35"/>
      <c r="G48" s="36"/>
      <c r="H48" s="35"/>
      <c r="I48" s="36"/>
      <c r="J48" s="35"/>
      <c r="K48" s="36"/>
      <c r="L48" s="35"/>
      <c r="M48" s="36"/>
      <c r="N48" s="35"/>
      <c r="O48" s="36"/>
      <c r="P48" s="35"/>
      <c r="Q48" s="22"/>
    </row>
    <row r="49" spans="2:21" s="23" customFormat="1" ht="17.5" customHeight="1" x14ac:dyDescent="0.45">
      <c r="B49" s="50" t="s">
        <v>2</v>
      </c>
      <c r="C49" s="37"/>
      <c r="D49" s="38"/>
      <c r="E49" s="37"/>
      <c r="F49" s="38"/>
      <c r="G49" s="39"/>
      <c r="H49" s="38"/>
      <c r="I49" s="39"/>
      <c r="J49" s="38"/>
      <c r="K49" s="39"/>
      <c r="L49" s="38"/>
      <c r="M49" s="39"/>
      <c r="N49" s="38"/>
      <c r="O49" s="39"/>
      <c r="P49" s="38"/>
      <c r="Q49" s="22"/>
    </row>
    <row r="50" spans="2:21" s="23" customFormat="1" ht="17.5" customHeight="1" x14ac:dyDescent="0.45">
      <c r="B50" s="50" t="s">
        <v>3</v>
      </c>
      <c r="C50" s="37"/>
      <c r="D50" s="38"/>
      <c r="E50" s="37"/>
      <c r="F50" s="38"/>
      <c r="G50" s="39"/>
      <c r="H50" s="38"/>
      <c r="I50" s="39"/>
      <c r="J50" s="38"/>
      <c r="K50" s="39"/>
      <c r="L50" s="38"/>
      <c r="M50" s="39"/>
      <c r="N50" s="38"/>
      <c r="O50" s="39"/>
      <c r="P50" s="38"/>
      <c r="Q50" s="22"/>
    </row>
    <row r="51" spans="2:21" s="23" customFormat="1" ht="17.5" customHeight="1" x14ac:dyDescent="0.45">
      <c r="B51" s="50" t="s">
        <v>4</v>
      </c>
      <c r="C51" s="37"/>
      <c r="D51" s="38"/>
      <c r="E51" s="37"/>
      <c r="F51" s="38"/>
      <c r="G51" s="39"/>
      <c r="H51" s="38"/>
      <c r="I51" s="39"/>
      <c r="J51" s="38"/>
      <c r="K51" s="39"/>
      <c r="L51" s="38"/>
      <c r="M51" s="39"/>
      <c r="N51" s="38"/>
      <c r="O51" s="39"/>
      <c r="P51" s="38"/>
      <c r="Q51" s="22"/>
    </row>
    <row r="52" spans="2:21" s="23" customFormat="1" ht="17.5" customHeight="1" x14ac:dyDescent="0.45">
      <c r="B52" s="50" t="s">
        <v>2</v>
      </c>
      <c r="C52" s="37"/>
      <c r="D52" s="38"/>
      <c r="E52" s="37"/>
      <c r="F52" s="38"/>
      <c r="G52" s="39"/>
      <c r="H52" s="38"/>
      <c r="I52" s="39"/>
      <c r="J52" s="38"/>
      <c r="K52" s="39"/>
      <c r="L52" s="38"/>
      <c r="M52" s="39"/>
      <c r="N52" s="38"/>
      <c r="O52" s="39"/>
      <c r="P52" s="38"/>
      <c r="Q52" s="22"/>
    </row>
    <row r="53" spans="2:21" s="23" customFormat="1" ht="17.5" customHeight="1" x14ac:dyDescent="0.45">
      <c r="B53" s="50"/>
      <c r="C53" s="37"/>
      <c r="D53" s="38"/>
      <c r="E53" s="37"/>
      <c r="F53" s="38"/>
      <c r="G53" s="39"/>
      <c r="H53" s="38"/>
      <c r="I53" s="39"/>
      <c r="J53" s="38"/>
      <c r="K53" s="39"/>
      <c r="L53" s="38"/>
      <c r="M53" s="39"/>
      <c r="N53" s="38"/>
      <c r="O53" s="39"/>
      <c r="P53" s="38"/>
      <c r="Q53" s="22"/>
    </row>
    <row r="54" spans="2:21" s="23" customFormat="1" ht="17.5" customHeight="1" x14ac:dyDescent="0.45">
      <c r="B54" s="50" t="s">
        <v>6</v>
      </c>
      <c r="C54" s="37"/>
      <c r="D54" s="38"/>
      <c r="E54" s="37"/>
      <c r="F54" s="38"/>
      <c r="G54" s="39"/>
      <c r="H54" s="38"/>
      <c r="I54" s="39"/>
      <c r="J54" s="38"/>
      <c r="K54" s="39"/>
      <c r="L54" s="38"/>
      <c r="M54" s="39"/>
      <c r="N54" s="38"/>
      <c r="O54" s="39"/>
      <c r="P54" s="38"/>
      <c r="Q54" s="22"/>
    </row>
    <row r="55" spans="2:21" s="23" customFormat="1" ht="17.5" customHeight="1" x14ac:dyDescent="0.35">
      <c r="B55" s="48"/>
      <c r="C55" s="37"/>
      <c r="D55" s="38"/>
      <c r="E55" s="37"/>
      <c r="F55" s="38"/>
      <c r="G55" s="39"/>
      <c r="H55" s="38"/>
      <c r="I55" s="39"/>
      <c r="J55" s="38"/>
      <c r="K55" s="39"/>
      <c r="L55" s="38"/>
      <c r="M55" s="39"/>
      <c r="N55" s="38"/>
      <c r="O55" s="39"/>
      <c r="P55" s="38"/>
      <c r="Q55" s="22"/>
    </row>
    <row r="56" spans="2:21" s="23" customFormat="1" ht="17.5" customHeight="1" x14ac:dyDescent="0.35">
      <c r="B56" s="48"/>
      <c r="C56" s="37"/>
      <c r="D56" s="38"/>
      <c r="E56" s="37"/>
      <c r="F56" s="38"/>
      <c r="G56" s="39"/>
      <c r="H56" s="38"/>
      <c r="I56" s="39"/>
      <c r="J56" s="38"/>
      <c r="K56" s="39"/>
      <c r="L56" s="38"/>
      <c r="M56" s="39"/>
      <c r="N56" s="38"/>
      <c r="O56" s="39"/>
      <c r="P56" s="38"/>
      <c r="Q56" s="22"/>
    </row>
    <row r="57" spans="2:21" s="23" customFormat="1" ht="17.5" customHeight="1" x14ac:dyDescent="0.35">
      <c r="B57" s="48"/>
      <c r="C57" s="37"/>
      <c r="D57" s="38"/>
      <c r="E57" s="37"/>
      <c r="F57" s="38"/>
      <c r="G57" s="39"/>
      <c r="H57" s="38"/>
      <c r="I57" s="39"/>
      <c r="J57" s="38"/>
      <c r="K57" s="39"/>
      <c r="L57" s="38"/>
      <c r="M57" s="39"/>
      <c r="N57" s="38"/>
      <c r="O57" s="39"/>
      <c r="P57" s="38"/>
      <c r="Q57" s="22"/>
    </row>
    <row r="58" spans="2:21" s="23" customFormat="1" ht="17.5" customHeight="1" x14ac:dyDescent="0.35">
      <c r="B58" s="48"/>
      <c r="C58" s="37"/>
      <c r="D58" s="38"/>
      <c r="E58" s="37"/>
      <c r="F58" s="38"/>
      <c r="G58" s="39"/>
      <c r="H58" s="38"/>
      <c r="I58" s="39"/>
      <c r="J58" s="38"/>
      <c r="K58" s="39"/>
      <c r="L58" s="38"/>
      <c r="M58" s="39"/>
      <c r="N58" s="38"/>
      <c r="O58" s="39"/>
      <c r="P58" s="38"/>
      <c r="Q58" s="22"/>
    </row>
    <row r="59" spans="2:21" s="23" customFormat="1" ht="17.5" customHeight="1" x14ac:dyDescent="0.35">
      <c r="B59" s="49"/>
      <c r="C59" s="40" t="s">
        <v>5</v>
      </c>
      <c r="D59" s="41"/>
      <c r="E59" s="40" t="s">
        <v>5</v>
      </c>
      <c r="F59" s="41"/>
      <c r="G59" s="42" t="s">
        <v>5</v>
      </c>
      <c r="H59" s="41"/>
      <c r="I59" s="42" t="s">
        <v>5</v>
      </c>
      <c r="J59" s="41"/>
      <c r="K59" s="42" t="s">
        <v>5</v>
      </c>
      <c r="L59" s="41"/>
      <c r="M59" s="42" t="s">
        <v>5</v>
      </c>
      <c r="N59" s="41"/>
      <c r="O59" s="42" t="s">
        <v>5</v>
      </c>
      <c r="P59" s="41"/>
      <c r="Q59" s="22"/>
    </row>
    <row r="60" spans="2:21" s="51" customFormat="1" ht="18" customHeight="1" x14ac:dyDescent="0.3">
      <c r="B60" s="52"/>
      <c r="C60" s="55">
        <f>IF(DAY(JunSun1)=1,IF(AND(YEAR(JunSun1+22)=CalendarYear,MONTH(JunSun1+22)=6),JunSun1+22,""),IF(AND(YEAR(JunSun1+29)=CalendarYear,MONTH(JunSun1+29)=6),JunSun1+29,""))</f>
        <v>44375</v>
      </c>
      <c r="D60" s="61" t="s">
        <v>29</v>
      </c>
      <c r="E60" s="55">
        <f>IF(DAY(JunSun1)=1,IF(AND(YEAR(JunSun1+23)=CalendarYear,MONTH(JunSun1+23)=6),JunSun1+23,""),IF(AND(YEAR(JunSun1+30)=CalendarYear,MONTH(JunSun1+30)=6),JunSun1+30,""))</f>
        <v>44376</v>
      </c>
      <c r="F60" s="61" t="s">
        <v>29</v>
      </c>
      <c r="G60" s="56">
        <f>IF(DAY(JunSun1)=1,IF(AND(YEAR(JunSun1+24)=CalendarYear,MONTH(JunSun1+24)=6),JunSun1+24,""),IF(AND(YEAR(JunSun1+31)=CalendarYear,MONTH(JunSun1+31)=6),JunSun1+31,""))</f>
        <v>44377</v>
      </c>
      <c r="H60" s="61" t="s">
        <v>29</v>
      </c>
      <c r="I60" s="56" t="str">
        <f>IF(DAY(JunSun1)=1,IF(AND(YEAR(JunSun1+25)=CalendarYear,MONTH(JunSun1+25)=6),JunSun1+25,""),IF(AND(YEAR(JunSun1+32)=CalendarYear,MONTH(JunSun1+32)=6),JunSun1+32,""))</f>
        <v/>
      </c>
      <c r="J60" s="61" t="s">
        <v>29</v>
      </c>
      <c r="K60" s="56" t="str">
        <f>IF(DAY(JunSun1)=1,IF(AND(YEAR(JunSun1+26)=CalendarYear,MONTH(JunSun1+26)=6),JunSun1+26,""),IF(AND(YEAR(JunSun1+33)=CalendarYear,MONTH(JunSun1+33)=6),JunSun1+33,""))</f>
        <v/>
      </c>
      <c r="L60" s="61" t="s">
        <v>29</v>
      </c>
      <c r="M60" s="56" t="str">
        <f>IF(DAY(JunSun1)=1,IF(AND(YEAR(JunSun1+27)=CalendarYear,MONTH(JunSun1+27)=6),JunSun1+27,""),IF(AND(YEAR(JunSun1+34)=CalendarYear,MONTH(JunSun1+34)=6),JunSun1+34,""))</f>
        <v/>
      </c>
      <c r="N60" s="61" t="s">
        <v>29</v>
      </c>
      <c r="O60" s="56" t="str">
        <f>IF(DAY(JunSun1)=1,IF(AND(YEAR(JunSun1+28)=CalendarYear,MONTH(JunSun1+28)=6),JunSun1+28,""),IF(AND(YEAR(JunSun1+35)=CalendarYear,MONTH(JunSun1+35)=6),JunSun1+35,""))</f>
        <v/>
      </c>
      <c r="P60" s="61" t="s">
        <v>29</v>
      </c>
      <c r="Q60" s="47"/>
      <c r="T60" s="53"/>
      <c r="U60" s="54"/>
    </row>
    <row r="61" spans="2:21" s="23" customFormat="1" ht="17.5" customHeight="1" x14ac:dyDescent="0.45">
      <c r="B61" s="50" t="s">
        <v>1</v>
      </c>
      <c r="C61" s="25"/>
      <c r="D61" s="26"/>
      <c r="E61" s="25"/>
      <c r="F61" s="26"/>
      <c r="G61" s="27"/>
      <c r="H61" s="26"/>
      <c r="I61" s="27"/>
      <c r="J61" s="26"/>
      <c r="K61" s="27"/>
      <c r="L61" s="26"/>
      <c r="M61" s="27"/>
      <c r="N61" s="26"/>
      <c r="O61" s="27"/>
      <c r="P61" s="26"/>
      <c r="Q61" s="22"/>
    </row>
    <row r="62" spans="2:21" s="23" customFormat="1" ht="17.5" customHeight="1" x14ac:dyDescent="0.45">
      <c r="B62" s="50" t="s">
        <v>2</v>
      </c>
      <c r="C62" s="28"/>
      <c r="D62" s="29"/>
      <c r="E62" s="28"/>
      <c r="F62" s="29"/>
      <c r="G62" s="30"/>
      <c r="H62" s="29"/>
      <c r="I62" s="30"/>
      <c r="J62" s="29"/>
      <c r="K62" s="30"/>
      <c r="L62" s="29"/>
      <c r="M62" s="30"/>
      <c r="N62" s="29"/>
      <c r="O62" s="30"/>
      <c r="P62" s="29"/>
      <c r="Q62" s="22"/>
    </row>
    <row r="63" spans="2:21" s="23" customFormat="1" ht="17.5" customHeight="1" x14ac:dyDescent="0.45">
      <c r="B63" s="50" t="s">
        <v>3</v>
      </c>
      <c r="C63" s="28"/>
      <c r="D63" s="29"/>
      <c r="E63" s="28"/>
      <c r="F63" s="29"/>
      <c r="G63" s="30"/>
      <c r="H63" s="29"/>
      <c r="I63" s="30"/>
      <c r="J63" s="29"/>
      <c r="K63" s="30"/>
      <c r="L63" s="29"/>
      <c r="M63" s="30"/>
      <c r="N63" s="29"/>
      <c r="O63" s="30"/>
      <c r="P63" s="29"/>
      <c r="Q63" s="22"/>
    </row>
    <row r="64" spans="2:21" s="23" customFormat="1" ht="17.5" customHeight="1" x14ac:dyDescent="0.45">
      <c r="B64" s="50" t="s">
        <v>4</v>
      </c>
      <c r="C64" s="28"/>
      <c r="D64" s="29"/>
      <c r="E64" s="28"/>
      <c r="F64" s="29"/>
      <c r="G64" s="30"/>
      <c r="H64" s="29"/>
      <c r="I64" s="30"/>
      <c r="J64" s="29"/>
      <c r="K64" s="30"/>
      <c r="L64" s="29"/>
      <c r="M64" s="30"/>
      <c r="N64" s="29"/>
      <c r="O64" s="30"/>
      <c r="P64" s="29"/>
      <c r="Q64" s="22"/>
    </row>
    <row r="65" spans="1:21" s="23" customFormat="1" ht="17.5" customHeight="1" x14ac:dyDescent="0.45">
      <c r="B65" s="50" t="s">
        <v>2</v>
      </c>
      <c r="C65" s="28"/>
      <c r="D65" s="29"/>
      <c r="E65" s="28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22"/>
    </row>
    <row r="66" spans="1:21" s="23" customFormat="1" ht="17.5" customHeight="1" x14ac:dyDescent="0.45">
      <c r="B66" s="50"/>
      <c r="C66" s="28"/>
      <c r="D66" s="29"/>
      <c r="E66" s="28"/>
      <c r="F66" s="29"/>
      <c r="G66" s="30"/>
      <c r="H66" s="29"/>
      <c r="I66" s="30"/>
      <c r="J66" s="29"/>
      <c r="K66" s="30"/>
      <c r="L66" s="29"/>
      <c r="M66" s="30"/>
      <c r="N66" s="29"/>
      <c r="O66" s="30"/>
      <c r="P66" s="29"/>
      <c r="Q66" s="22"/>
    </row>
    <row r="67" spans="1:21" s="23" customFormat="1" ht="17.5" customHeight="1" x14ac:dyDescent="0.45">
      <c r="B67" s="50" t="s">
        <v>6</v>
      </c>
      <c r="C67" s="28"/>
      <c r="D67" s="29"/>
      <c r="E67" s="28"/>
      <c r="F67" s="29"/>
      <c r="G67" s="30"/>
      <c r="H67" s="29"/>
      <c r="I67" s="30"/>
      <c r="J67" s="29"/>
      <c r="K67" s="30"/>
      <c r="L67" s="29"/>
      <c r="M67" s="30"/>
      <c r="N67" s="29"/>
      <c r="O67" s="30"/>
      <c r="P67" s="29"/>
      <c r="Q67" s="22"/>
    </row>
    <row r="68" spans="1:21" s="23" customFormat="1" ht="17.5" customHeight="1" x14ac:dyDescent="0.35">
      <c r="B68" s="48"/>
      <c r="C68" s="28"/>
      <c r="D68" s="29"/>
      <c r="E68" s="28"/>
      <c r="F68" s="29"/>
      <c r="G68" s="30"/>
      <c r="H68" s="29"/>
      <c r="I68" s="30"/>
      <c r="J68" s="29"/>
      <c r="K68" s="30"/>
      <c r="L68" s="29"/>
      <c r="M68" s="30"/>
      <c r="N68" s="29"/>
      <c r="O68" s="30"/>
      <c r="P68" s="29"/>
      <c r="Q68" s="22"/>
    </row>
    <row r="69" spans="1:21" s="23" customFormat="1" ht="17.5" customHeight="1" x14ac:dyDescent="0.35">
      <c r="B69" s="48"/>
      <c r="C69" s="28"/>
      <c r="D69" s="29"/>
      <c r="E69" s="28"/>
      <c r="F69" s="29"/>
      <c r="G69" s="30"/>
      <c r="H69" s="29"/>
      <c r="I69" s="30"/>
      <c r="J69" s="29"/>
      <c r="K69" s="30"/>
      <c r="L69" s="29"/>
      <c r="M69" s="30"/>
      <c r="N69" s="29"/>
      <c r="O69" s="30"/>
      <c r="P69" s="29"/>
      <c r="Q69" s="22"/>
    </row>
    <row r="70" spans="1:21" s="23" customFormat="1" ht="17.5" customHeight="1" x14ac:dyDescent="0.35">
      <c r="B70" s="48"/>
      <c r="C70" s="28"/>
      <c r="D70" s="29"/>
      <c r="E70" s="28"/>
      <c r="F70" s="29"/>
      <c r="G70" s="30"/>
      <c r="H70" s="29"/>
      <c r="I70" s="30"/>
      <c r="J70" s="29"/>
      <c r="K70" s="30"/>
      <c r="L70" s="29"/>
      <c r="M70" s="30"/>
      <c r="N70" s="29"/>
      <c r="O70" s="30"/>
      <c r="P70" s="29"/>
      <c r="Q70" s="22"/>
    </row>
    <row r="71" spans="1:21" s="23" customFormat="1" ht="17.5" customHeight="1" x14ac:dyDescent="0.35">
      <c r="B71" s="48"/>
      <c r="C71" s="28"/>
      <c r="D71" s="29"/>
      <c r="E71" s="28"/>
      <c r="F71" s="29"/>
      <c r="G71" s="30"/>
      <c r="H71" s="29"/>
      <c r="I71" s="30"/>
      <c r="J71" s="29"/>
      <c r="K71" s="30"/>
      <c r="L71" s="29"/>
      <c r="M71" s="30"/>
      <c r="N71" s="29"/>
      <c r="O71" s="30"/>
      <c r="P71" s="29"/>
      <c r="Q71" s="22"/>
    </row>
    <row r="72" spans="1:21" s="23" customFormat="1" ht="17.5" customHeight="1" x14ac:dyDescent="0.35">
      <c r="B72" s="49"/>
      <c r="C72" s="31" t="s">
        <v>5</v>
      </c>
      <c r="D72" s="32"/>
      <c r="E72" s="31" t="s">
        <v>5</v>
      </c>
      <c r="F72" s="32"/>
      <c r="G72" s="33" t="s">
        <v>5</v>
      </c>
      <c r="H72" s="32"/>
      <c r="I72" s="33" t="s">
        <v>5</v>
      </c>
      <c r="J72" s="32"/>
      <c r="K72" s="33" t="s">
        <v>5</v>
      </c>
      <c r="L72" s="32"/>
      <c r="M72" s="33" t="s">
        <v>5</v>
      </c>
      <c r="N72" s="32"/>
      <c r="O72" s="33" t="s">
        <v>5</v>
      </c>
      <c r="P72" s="32"/>
      <c r="Q72" s="22"/>
    </row>
    <row r="73" spans="1:21" s="21" customFormat="1" ht="18" customHeight="1" x14ac:dyDescent="0.3">
      <c r="A73" s="51"/>
      <c r="B73" s="52"/>
      <c r="C73" s="55" t="str">
        <f>IF(DAY(JunSun1)=1,IF(AND(YEAR(JunSun1+29)=CalendarYear,MONTH(JunSun1+29)=6),JunSun1+29,""),IF(AND(YEAR(JunSun1+36)=CalendarYear,MONTH(JunSun1+36)=6),JunSun1+36,""))</f>
        <v/>
      </c>
      <c r="D73" s="61" t="s">
        <v>29</v>
      </c>
      <c r="E73" s="55" t="str">
        <f>IF(DAY(JunSun1)=1,IF(AND(YEAR(JunSun1+30)=CalendarYear,MONTH(JunSun1+30)=6),JunSun1+30,""),IF(AND(YEAR(JunSun1+37)=CalendarYear,MONTH(JunSun1+37)=6),JunSun1+37,""))</f>
        <v/>
      </c>
      <c r="F73" s="61" t="s">
        <v>29</v>
      </c>
      <c r="G73" s="56" t="s">
        <v>14</v>
      </c>
      <c r="H73" s="57"/>
      <c r="I73" s="58"/>
      <c r="J73" s="57"/>
      <c r="K73" s="58"/>
      <c r="L73" s="57"/>
      <c r="M73" s="58"/>
      <c r="N73" s="57"/>
      <c r="O73" s="58"/>
      <c r="P73" s="57"/>
      <c r="Q73" s="22"/>
      <c r="T73" s="23"/>
      <c r="U73" s="24"/>
    </row>
    <row r="74" spans="1:21" s="23" customFormat="1" ht="17.5" customHeight="1" x14ac:dyDescent="0.45">
      <c r="B74" s="50" t="s">
        <v>1</v>
      </c>
      <c r="C74" s="34"/>
      <c r="D74" s="35"/>
      <c r="E74" s="34"/>
      <c r="F74" s="35"/>
      <c r="G74" s="163"/>
      <c r="H74" s="164"/>
      <c r="I74" s="164"/>
      <c r="J74" s="164"/>
      <c r="K74" s="164"/>
      <c r="L74" s="164"/>
      <c r="M74" s="164"/>
      <c r="N74" s="164"/>
      <c r="O74" s="164"/>
      <c r="P74" s="165"/>
      <c r="Q74" s="22"/>
    </row>
    <row r="75" spans="1:21" s="23" customFormat="1" ht="17.5" customHeight="1" x14ac:dyDescent="0.45">
      <c r="B75" s="50" t="s">
        <v>2</v>
      </c>
      <c r="C75" s="37"/>
      <c r="D75" s="38"/>
      <c r="E75" s="37"/>
      <c r="F75" s="38"/>
      <c r="G75" s="166"/>
      <c r="H75" s="167"/>
      <c r="I75" s="167"/>
      <c r="J75" s="167"/>
      <c r="K75" s="167"/>
      <c r="L75" s="167"/>
      <c r="M75" s="167"/>
      <c r="N75" s="167"/>
      <c r="O75" s="167"/>
      <c r="P75" s="168"/>
      <c r="Q75" s="22"/>
    </row>
    <row r="76" spans="1:21" s="23" customFormat="1" ht="17.5" customHeight="1" x14ac:dyDescent="0.45">
      <c r="B76" s="50" t="s">
        <v>3</v>
      </c>
      <c r="C76" s="37"/>
      <c r="D76" s="38"/>
      <c r="E76" s="37"/>
      <c r="F76" s="38"/>
      <c r="G76" s="166"/>
      <c r="H76" s="167"/>
      <c r="I76" s="167"/>
      <c r="J76" s="167"/>
      <c r="K76" s="167"/>
      <c r="L76" s="167"/>
      <c r="M76" s="167"/>
      <c r="N76" s="167"/>
      <c r="O76" s="167"/>
      <c r="P76" s="168"/>
      <c r="Q76" s="22"/>
    </row>
    <row r="77" spans="1:21" s="23" customFormat="1" ht="17.5" customHeight="1" x14ac:dyDescent="0.45">
      <c r="B77" s="50" t="s">
        <v>4</v>
      </c>
      <c r="C77" s="37"/>
      <c r="D77" s="38"/>
      <c r="E77" s="37"/>
      <c r="F77" s="38"/>
      <c r="G77" s="166"/>
      <c r="H77" s="167"/>
      <c r="I77" s="167"/>
      <c r="J77" s="167"/>
      <c r="K77" s="167"/>
      <c r="L77" s="167"/>
      <c r="M77" s="167"/>
      <c r="N77" s="167"/>
      <c r="O77" s="167"/>
      <c r="P77" s="168"/>
      <c r="Q77" s="22"/>
    </row>
    <row r="78" spans="1:21" s="23" customFormat="1" ht="17.5" customHeight="1" x14ac:dyDescent="0.45">
      <c r="B78" s="50" t="s">
        <v>2</v>
      </c>
      <c r="C78" s="37"/>
      <c r="D78" s="38"/>
      <c r="E78" s="37"/>
      <c r="F78" s="38"/>
      <c r="G78" s="166"/>
      <c r="H78" s="167"/>
      <c r="I78" s="167"/>
      <c r="J78" s="167"/>
      <c r="K78" s="167"/>
      <c r="L78" s="167"/>
      <c r="M78" s="167"/>
      <c r="N78" s="167"/>
      <c r="O78" s="167"/>
      <c r="P78" s="168"/>
      <c r="Q78" s="22"/>
    </row>
    <row r="79" spans="1:21" s="23" customFormat="1" ht="17.5" customHeight="1" x14ac:dyDescent="0.45">
      <c r="B79" s="50"/>
      <c r="C79" s="37"/>
      <c r="D79" s="38"/>
      <c r="E79" s="37"/>
      <c r="F79" s="38"/>
      <c r="G79" s="166"/>
      <c r="H79" s="167"/>
      <c r="I79" s="167"/>
      <c r="J79" s="167"/>
      <c r="K79" s="167"/>
      <c r="L79" s="167"/>
      <c r="M79" s="167"/>
      <c r="N79" s="167"/>
      <c r="O79" s="167"/>
      <c r="P79" s="168"/>
      <c r="Q79" s="22"/>
    </row>
    <row r="80" spans="1:21" s="23" customFormat="1" ht="17.5" customHeight="1" x14ac:dyDescent="0.45">
      <c r="B80" s="50" t="s">
        <v>6</v>
      </c>
      <c r="C80" s="37"/>
      <c r="D80" s="38"/>
      <c r="E80" s="37"/>
      <c r="F80" s="38"/>
      <c r="G80" s="166"/>
      <c r="H80" s="167"/>
      <c r="I80" s="167"/>
      <c r="J80" s="167"/>
      <c r="K80" s="167"/>
      <c r="L80" s="167"/>
      <c r="M80" s="167"/>
      <c r="N80" s="167"/>
      <c r="O80" s="167"/>
      <c r="P80" s="168"/>
      <c r="Q80" s="22"/>
    </row>
    <row r="81" spans="1:17" s="23" customFormat="1" ht="17.5" customHeight="1" x14ac:dyDescent="0.35">
      <c r="B81" s="48"/>
      <c r="C81" s="37"/>
      <c r="D81" s="38"/>
      <c r="E81" s="37"/>
      <c r="F81" s="38"/>
      <c r="G81" s="166"/>
      <c r="H81" s="167"/>
      <c r="I81" s="167"/>
      <c r="J81" s="167"/>
      <c r="K81" s="167"/>
      <c r="L81" s="167"/>
      <c r="M81" s="167"/>
      <c r="N81" s="167"/>
      <c r="O81" s="167"/>
      <c r="P81" s="168"/>
      <c r="Q81" s="22"/>
    </row>
    <row r="82" spans="1:17" s="23" customFormat="1" ht="17.5" customHeight="1" x14ac:dyDescent="0.35">
      <c r="B82" s="48"/>
      <c r="C82" s="37"/>
      <c r="D82" s="38"/>
      <c r="E82" s="37"/>
      <c r="F82" s="38"/>
      <c r="G82" s="166"/>
      <c r="H82" s="167"/>
      <c r="I82" s="167"/>
      <c r="J82" s="167"/>
      <c r="K82" s="167"/>
      <c r="L82" s="167"/>
      <c r="M82" s="167"/>
      <c r="N82" s="167"/>
      <c r="O82" s="167"/>
      <c r="P82" s="168"/>
      <c r="Q82" s="22"/>
    </row>
    <row r="83" spans="1:17" s="23" customFormat="1" ht="17.5" customHeight="1" x14ac:dyDescent="0.35">
      <c r="B83" s="48"/>
      <c r="C83" s="37"/>
      <c r="D83" s="38"/>
      <c r="E83" s="37"/>
      <c r="F83" s="38"/>
      <c r="G83" s="166"/>
      <c r="H83" s="167"/>
      <c r="I83" s="167"/>
      <c r="J83" s="167"/>
      <c r="K83" s="167"/>
      <c r="L83" s="167"/>
      <c r="M83" s="167"/>
      <c r="N83" s="167"/>
      <c r="O83" s="167"/>
      <c r="P83" s="168"/>
      <c r="Q83" s="22"/>
    </row>
    <row r="84" spans="1:17" s="23" customFormat="1" ht="17.5" customHeight="1" x14ac:dyDescent="0.35">
      <c r="B84" s="48"/>
      <c r="C84" s="37"/>
      <c r="D84" s="38"/>
      <c r="E84" s="37"/>
      <c r="F84" s="38"/>
      <c r="G84" s="166"/>
      <c r="H84" s="167"/>
      <c r="I84" s="167"/>
      <c r="J84" s="167"/>
      <c r="K84" s="167"/>
      <c r="L84" s="167"/>
      <c r="M84" s="167"/>
      <c r="N84" s="167"/>
      <c r="O84" s="167"/>
      <c r="P84" s="168"/>
      <c r="Q84" s="22"/>
    </row>
    <row r="85" spans="1:17" s="23" customFormat="1" ht="17.5" customHeight="1" x14ac:dyDescent="0.35">
      <c r="B85" s="49"/>
      <c r="C85" s="40" t="s">
        <v>5</v>
      </c>
      <c r="D85" s="41"/>
      <c r="E85" s="40" t="s">
        <v>5</v>
      </c>
      <c r="F85" s="41"/>
      <c r="G85" s="169"/>
      <c r="H85" s="170"/>
      <c r="I85" s="170"/>
      <c r="J85" s="170"/>
      <c r="K85" s="170"/>
      <c r="L85" s="170"/>
      <c r="M85" s="170"/>
      <c r="N85" s="170"/>
      <c r="O85" s="170"/>
      <c r="P85" s="171"/>
      <c r="Q85" s="22"/>
    </row>
    <row r="86" spans="1:17" ht="22.75" customHeight="1" x14ac:dyDescent="0.3">
      <c r="B86" s="159" t="s">
        <v>27</v>
      </c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</row>
    <row r="87" spans="1:17" ht="22.75" customHeight="1" x14ac:dyDescent="0.3">
      <c r="A87" s="2"/>
      <c r="B87" s="158" t="s">
        <v>28</v>
      </c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</row>
    <row r="88" spans="1:17" x14ac:dyDescent="0.3">
      <c r="A88" s="2"/>
    </row>
    <row r="89" spans="1:17" x14ac:dyDescent="0.3">
      <c r="A89" s="2"/>
    </row>
    <row r="90" spans="1:17" ht="21" customHeight="1" x14ac:dyDescent="0.3">
      <c r="A90" s="2"/>
      <c r="E90" s="5"/>
      <c r="F90" s="17"/>
      <c r="G90" s="4"/>
      <c r="H90" s="18"/>
      <c r="I90" s="3"/>
      <c r="J90" s="19"/>
    </row>
    <row r="91" spans="1:17" ht="19.5" customHeight="1" x14ac:dyDescent="0.3">
      <c r="A91" s="2"/>
    </row>
    <row r="92" spans="1:17" ht="15" x14ac:dyDescent="0.3">
      <c r="A92"/>
    </row>
    <row r="93" spans="1:17" x14ac:dyDescent="0.3">
      <c r="A93" s="2"/>
    </row>
    <row r="94" spans="1:17" x14ac:dyDescent="0.3">
      <c r="A94" s="2"/>
    </row>
    <row r="95" spans="1:17" x14ac:dyDescent="0.3">
      <c r="A95" s="2"/>
    </row>
    <row r="96" spans="1:17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ht="15" x14ac:dyDescent="0.3">
      <c r="A105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ht="15" x14ac:dyDescent="0.3">
      <c r="A118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ht="15" x14ac:dyDescent="0.3">
      <c r="A131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4" spans="1:1" ht="15" x14ac:dyDescent="0.3">
      <c r="A144"/>
    </row>
    <row r="145" spans="1:1" x14ac:dyDescent="0.3">
      <c r="A145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x14ac:dyDescent="0.3">
      <c r="A150" s="2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ht="15" x14ac:dyDescent="0.3">
      <c r="A163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x14ac:dyDescent="0.3">
      <c r="A174" s="2"/>
    </row>
    <row r="175" spans="1:1" x14ac:dyDescent="0.3">
      <c r="A175" s="2"/>
    </row>
    <row r="176" spans="1:1" ht="15" x14ac:dyDescent="0.3">
      <c r="A176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ht="15" x14ac:dyDescent="0.3">
      <c r="A189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ht="15" x14ac:dyDescent="0.3">
      <c r="A20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x14ac:dyDescent="0.3">
      <c r="A213" s="2"/>
    </row>
    <row r="214" spans="1:1" x14ac:dyDescent="0.3">
      <c r="A214" s="2"/>
    </row>
    <row r="215" spans="1:1" ht="15" x14ac:dyDescent="0.3">
      <c r="A215"/>
    </row>
    <row r="216" spans="1:1" x14ac:dyDescent="0.3">
      <c r="A216" s="2"/>
    </row>
    <row r="217" spans="1:1" x14ac:dyDescent="0.3">
      <c r="A217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x14ac:dyDescent="0.3">
      <c r="A225" s="2"/>
    </row>
    <row r="226" spans="1:1" x14ac:dyDescent="0.3">
      <c r="A226" s="2"/>
    </row>
    <row r="227" spans="1:1" x14ac:dyDescent="0.3">
      <c r="A227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ht="15" x14ac:dyDescent="0.3">
      <c r="A238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ht="15" x14ac:dyDescent="0.3">
      <c r="A251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ht="15" x14ac:dyDescent="0.3">
      <c r="A264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  <row r="269" spans="1:1" x14ac:dyDescent="0.3">
      <c r="A269" s="2"/>
    </row>
    <row r="270" spans="1:1" x14ac:dyDescent="0.3">
      <c r="A270" s="2"/>
    </row>
    <row r="271" spans="1:1" x14ac:dyDescent="0.3">
      <c r="A271" s="2"/>
    </row>
    <row r="272" spans="1:1" x14ac:dyDescent="0.3">
      <c r="A272" s="2"/>
    </row>
    <row r="273" spans="1:1" x14ac:dyDescent="0.3">
      <c r="A273" s="2"/>
    </row>
    <row r="274" spans="1:1" x14ac:dyDescent="0.3">
      <c r="A274" s="2"/>
    </row>
    <row r="275" spans="1:1" x14ac:dyDescent="0.3">
      <c r="A275" s="2"/>
    </row>
    <row r="276" spans="1:1" x14ac:dyDescent="0.3">
      <c r="A276" s="2"/>
    </row>
    <row r="277" spans="1:1" ht="15" x14ac:dyDescent="0.3">
      <c r="A277"/>
    </row>
    <row r="278" spans="1:1" x14ac:dyDescent="0.3">
      <c r="A278" s="2"/>
    </row>
    <row r="279" spans="1:1" x14ac:dyDescent="0.3">
      <c r="A279" s="2"/>
    </row>
    <row r="280" spans="1:1" x14ac:dyDescent="0.3">
      <c r="A280" s="2"/>
    </row>
    <row r="281" spans="1:1" x14ac:dyDescent="0.3">
      <c r="A281" s="2"/>
    </row>
    <row r="282" spans="1:1" x14ac:dyDescent="0.3">
      <c r="A282" s="2"/>
    </row>
    <row r="283" spans="1:1" x14ac:dyDescent="0.3">
      <c r="A283" s="2"/>
    </row>
    <row r="284" spans="1:1" x14ac:dyDescent="0.3">
      <c r="A284" s="2"/>
    </row>
    <row r="285" spans="1:1" x14ac:dyDescent="0.3">
      <c r="A285" s="2"/>
    </row>
    <row r="286" spans="1:1" x14ac:dyDescent="0.3">
      <c r="A286" s="2"/>
    </row>
    <row r="287" spans="1:1" x14ac:dyDescent="0.3">
      <c r="A287" s="2"/>
    </row>
    <row r="288" spans="1:1" x14ac:dyDescent="0.3">
      <c r="A288" s="2"/>
    </row>
    <row r="289" spans="1:1" x14ac:dyDescent="0.3">
      <c r="A289" s="2"/>
    </row>
    <row r="290" spans="1:1" ht="15" x14ac:dyDescent="0.3">
      <c r="A290"/>
    </row>
    <row r="291" spans="1:1" x14ac:dyDescent="0.3">
      <c r="A291" s="2"/>
    </row>
    <row r="292" spans="1:1" x14ac:dyDescent="0.3">
      <c r="A292" s="2"/>
    </row>
    <row r="293" spans="1:1" x14ac:dyDescent="0.3">
      <c r="A293" s="2"/>
    </row>
    <row r="294" spans="1:1" x14ac:dyDescent="0.3">
      <c r="A294" s="2"/>
    </row>
    <row r="295" spans="1:1" x14ac:dyDescent="0.3">
      <c r="A295" s="2"/>
    </row>
    <row r="296" spans="1:1" x14ac:dyDescent="0.3">
      <c r="A296" s="2"/>
    </row>
    <row r="297" spans="1:1" x14ac:dyDescent="0.3">
      <c r="A297" s="2"/>
    </row>
    <row r="298" spans="1:1" x14ac:dyDescent="0.3">
      <c r="A298" s="2"/>
    </row>
    <row r="299" spans="1:1" x14ac:dyDescent="0.3">
      <c r="A299" s="2"/>
    </row>
    <row r="300" spans="1:1" x14ac:dyDescent="0.3">
      <c r="A300" s="2"/>
    </row>
    <row r="301" spans="1:1" x14ac:dyDescent="0.3">
      <c r="A301" s="2"/>
    </row>
    <row r="302" spans="1:1" x14ac:dyDescent="0.3">
      <c r="A302" s="2"/>
    </row>
  </sheetData>
  <mergeCells count="7">
    <mergeCell ref="BK4:BN5"/>
    <mergeCell ref="CB6:CC6"/>
    <mergeCell ref="B86:P86"/>
    <mergeCell ref="B87:P87"/>
    <mergeCell ref="G74:P85"/>
    <mergeCell ref="B4:C5"/>
    <mergeCell ref="G6:H6"/>
  </mergeCells>
  <printOptions horizontalCentered="1" verticalCentered="1"/>
  <pageMargins left="0.2" right="0.2" top="0.25" bottom="0.25" header="0" footer="0"/>
  <pageSetup scale="34" orientation="landscape" r:id="rId1"/>
  <headerFooter scaleWithDoc="0"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0" tint="-0.34998626667073579"/>
    <pageSetUpPr fitToPage="1"/>
  </sheetPr>
  <dimension ref="A1:CJ302"/>
  <sheetViews>
    <sheetView showGridLines="0" zoomScale="50" zoomScaleNormal="50" workbookViewId="0">
      <selection activeCell="C9" sqref="C9"/>
    </sheetView>
  </sheetViews>
  <sheetFormatPr defaultColWidth="6.69140625" defaultRowHeight="14" x14ac:dyDescent="0.3"/>
  <cols>
    <col min="1" max="1" width="5.53515625" style="1" customWidth="1"/>
    <col min="2" max="2" width="18.07421875" style="1" bestFit="1" customWidth="1"/>
    <col min="3" max="3" width="24.23046875" style="1" customWidth="1"/>
    <col min="4" max="4" width="7.4609375" style="14" customWidth="1"/>
    <col min="5" max="5" width="24.23046875" style="1" customWidth="1"/>
    <col min="6" max="6" width="7.4609375" style="14" customWidth="1"/>
    <col min="7" max="7" width="24.23046875" style="1" customWidth="1"/>
    <col min="8" max="8" width="7.4609375" style="14" customWidth="1"/>
    <col min="9" max="9" width="24.23046875" style="1" customWidth="1"/>
    <col min="10" max="10" width="7.4609375" style="14" customWidth="1"/>
    <col min="11" max="11" width="24.23046875" style="1" customWidth="1"/>
    <col min="12" max="12" width="7.4609375" style="14" customWidth="1"/>
    <col min="13" max="13" width="24.23046875" style="1" customWidth="1"/>
    <col min="14" max="14" width="7.4609375" style="14" customWidth="1"/>
    <col min="15" max="15" width="24.23046875" style="1" customWidth="1"/>
    <col min="16" max="16" width="7.4609375" style="14" customWidth="1"/>
    <col min="17" max="17" width="13.3046875" style="1" customWidth="1"/>
    <col min="18" max="18" width="31.3046875" style="1" customWidth="1"/>
    <col min="19" max="19" width="11.84375" style="1" customWidth="1"/>
    <col min="20" max="20" width="11.3046875" style="1" customWidth="1"/>
    <col min="21" max="16384" width="6.69140625" style="1"/>
  </cols>
  <sheetData>
    <row r="1" spans="1:88" ht="49.75" customHeight="1" x14ac:dyDescent="0.3">
      <c r="R1" s="46"/>
      <c r="S1" s="46"/>
    </row>
    <row r="2" spans="1:88" ht="13.75" customHeight="1" x14ac:dyDescent="0.3">
      <c r="R2" s="46"/>
      <c r="S2" s="46"/>
    </row>
    <row r="3" spans="1:88" ht="19.399999999999999" customHeight="1" x14ac:dyDescent="0.3">
      <c r="B3" s="9"/>
      <c r="R3" s="46"/>
      <c r="S3" s="46"/>
      <c r="BB3" s="9"/>
      <c r="BC3" s="9"/>
      <c r="BD3" s="9"/>
    </row>
    <row r="4" spans="1:88" ht="43.75" customHeight="1" x14ac:dyDescent="0.65">
      <c r="B4" s="172"/>
      <c r="C4" s="172"/>
      <c r="R4" s="46"/>
      <c r="S4" s="46"/>
      <c r="BB4" s="9"/>
      <c r="BC4" s="9"/>
      <c r="BD4" s="9"/>
      <c r="BK4" s="160"/>
      <c r="BL4" s="160"/>
      <c r="BM4" s="160"/>
      <c r="BN4" s="160"/>
      <c r="CG4" s="11"/>
      <c r="CH4" s="13"/>
      <c r="CI4" s="11"/>
    </row>
    <row r="5" spans="1:88" ht="30" customHeight="1" x14ac:dyDescent="0.65">
      <c r="B5" s="172"/>
      <c r="C5" s="172"/>
      <c r="D5" s="15"/>
      <c r="F5" s="15"/>
      <c r="H5" s="15"/>
      <c r="I5" s="9"/>
      <c r="J5" s="15"/>
      <c r="K5" s="9"/>
      <c r="L5" s="15"/>
      <c r="M5" s="9"/>
      <c r="N5" s="15"/>
      <c r="O5" s="9"/>
      <c r="P5" s="15"/>
      <c r="R5" s="44"/>
      <c r="S5" s="44"/>
      <c r="BB5" s="9"/>
      <c r="BC5" s="9"/>
      <c r="BD5" s="9"/>
      <c r="BH5" s="9"/>
      <c r="BI5" s="9"/>
      <c r="BJ5" s="9"/>
      <c r="BK5" s="160"/>
      <c r="BL5" s="160"/>
      <c r="BM5" s="160"/>
      <c r="BN5" s="160"/>
      <c r="BO5" s="9"/>
      <c r="BP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12"/>
      <c r="CH5" s="12"/>
      <c r="CI5" s="12"/>
      <c r="CJ5" s="9"/>
    </row>
    <row r="6" spans="1:88" ht="48.65" customHeight="1" x14ac:dyDescent="0.65">
      <c r="F6" s="16"/>
      <c r="G6" s="173" t="s">
        <v>20</v>
      </c>
      <c r="H6" s="173"/>
      <c r="I6" s="59" t="str">
        <f>UPPER(TEXT(DATE(CalendarYear,1,1)," yyyy"))</f>
        <v xml:space="preserve"> 2021</v>
      </c>
      <c r="J6" s="16"/>
      <c r="K6" s="7"/>
      <c r="L6" s="16"/>
      <c r="N6" s="16"/>
      <c r="R6" s="43"/>
      <c r="S6" s="43"/>
      <c r="BO6" s="7"/>
      <c r="BP6" s="8"/>
      <c r="BR6" s="7"/>
      <c r="BS6" s="8"/>
      <c r="BT6" s="7"/>
      <c r="BU6" s="7"/>
      <c r="BV6" s="8"/>
      <c r="BW6" s="7"/>
      <c r="BX6" s="7"/>
      <c r="BY6" s="8"/>
      <c r="CA6" s="7"/>
      <c r="CB6" s="161"/>
      <c r="CC6" s="161"/>
      <c r="CD6" s="10"/>
      <c r="CE6" s="8"/>
      <c r="CG6" s="11"/>
      <c r="CH6" s="11"/>
      <c r="CI6" s="11"/>
    </row>
    <row r="7" spans="1:88" customFormat="1" ht="26.25" customHeight="1" x14ac:dyDescent="0.3">
      <c r="A7" s="1"/>
      <c r="B7" s="20"/>
      <c r="C7" s="60" t="s">
        <v>7</v>
      </c>
      <c r="D7" s="60"/>
      <c r="E7" s="60" t="s">
        <v>8</v>
      </c>
      <c r="F7" s="60"/>
      <c r="G7" s="60" t="s">
        <v>9</v>
      </c>
      <c r="H7" s="60"/>
      <c r="I7" s="60" t="s">
        <v>10</v>
      </c>
      <c r="J7" s="60"/>
      <c r="K7" s="60" t="s">
        <v>11</v>
      </c>
      <c r="L7" s="60"/>
      <c r="M7" s="60" t="s">
        <v>12</v>
      </c>
      <c r="N7" s="60"/>
      <c r="O7" s="60" t="s">
        <v>13</v>
      </c>
      <c r="P7" s="45"/>
      <c r="Q7" s="1"/>
      <c r="S7" s="1"/>
      <c r="T7" s="6"/>
      <c r="X7" s="1"/>
      <c r="Y7" s="1"/>
    </row>
    <row r="8" spans="1:88" s="51" customFormat="1" ht="18" customHeight="1" x14ac:dyDescent="0.3">
      <c r="B8" s="52"/>
      <c r="C8" s="55" t="str">
        <f>IF(DAY(JulSun1)=1,"",IF(AND(YEAR(JulSun1+1)=CalendarYear,MONTH(JulSun1+1)=7),JulSun1+1,""))</f>
        <v/>
      </c>
      <c r="D8" s="61" t="s">
        <v>29</v>
      </c>
      <c r="E8" s="55" t="str">
        <f>IF(DAY(JulSun1)=1,"",IF(AND(YEAR(JulSun1+2)=CalendarYear,MONTH(JulSun1+2)=7),JulSun1+2,""))</f>
        <v/>
      </c>
      <c r="F8" s="61" t="s">
        <v>29</v>
      </c>
      <c r="G8" s="56" t="str">
        <f>IF(DAY(JulSun1)=1,"",IF(AND(YEAR(JulSun1+3)=CalendarYear,MONTH(JulSun1+3)=7),JulSun1+3,""))</f>
        <v/>
      </c>
      <c r="H8" s="61" t="s">
        <v>29</v>
      </c>
      <c r="I8" s="56">
        <f>IF(DAY(JulSun1)=1,"",IF(AND(YEAR(JulSun1+4)=CalendarYear,MONTH(JulSun1+4)=7),JulSun1+4,""))</f>
        <v>44378</v>
      </c>
      <c r="J8" s="61" t="s">
        <v>29</v>
      </c>
      <c r="K8" s="56">
        <f>IF(DAY(JulSun1)=1,"",IF(AND(YEAR(JulSun1+5)=CalendarYear,MONTH(JulSun1+5)=7),JulSun1+5,""))</f>
        <v>44379</v>
      </c>
      <c r="L8" s="61" t="s">
        <v>29</v>
      </c>
      <c r="M8" s="56">
        <f>IF(DAY(JulSun1)=1,"",IF(AND(YEAR(JulSun1+6)=CalendarYear,MONTH(JulSun1+6)=7),JulSun1+6,""))</f>
        <v>44380</v>
      </c>
      <c r="N8" s="61" t="s">
        <v>29</v>
      </c>
      <c r="O8" s="56">
        <f>IF(DAY(JulSun1)=1,IF(AND(YEAR(JulSun1)=CalendarYear,MONTH(JulSun1)=7),JulSun1,""),IF(AND(YEAR(JulSun1+7)=CalendarYear,MONTH(JulSun1+7)=7),JulSun1+7,""))</f>
        <v>44381</v>
      </c>
      <c r="P8" s="61" t="s">
        <v>29</v>
      </c>
      <c r="Q8" s="47"/>
      <c r="T8" s="53"/>
      <c r="U8" s="54"/>
    </row>
    <row r="9" spans="1:88" s="23" customFormat="1" ht="17.5" customHeight="1" x14ac:dyDescent="0.45">
      <c r="B9" s="50" t="s">
        <v>1</v>
      </c>
      <c r="C9" s="25"/>
      <c r="D9" s="26"/>
      <c r="E9" s="25"/>
      <c r="F9" s="26"/>
      <c r="G9" s="27"/>
      <c r="H9" s="26"/>
      <c r="I9" s="27"/>
      <c r="J9" s="26"/>
      <c r="K9" s="27"/>
      <c r="L9" s="26"/>
      <c r="M9" s="27"/>
      <c r="N9" s="26"/>
      <c r="O9" s="27"/>
      <c r="P9" s="26"/>
      <c r="Q9" s="22"/>
    </row>
    <row r="10" spans="1:88" s="23" customFormat="1" ht="17.5" customHeight="1" x14ac:dyDescent="0.45">
      <c r="B10" s="50" t="s">
        <v>2</v>
      </c>
      <c r="C10" s="28"/>
      <c r="D10" s="29"/>
      <c r="E10" s="28"/>
      <c r="F10" s="29"/>
      <c r="G10" s="30"/>
      <c r="H10" s="29"/>
      <c r="I10" s="30"/>
      <c r="J10" s="29"/>
      <c r="K10" s="30"/>
      <c r="L10" s="29"/>
      <c r="M10" s="30"/>
      <c r="N10" s="29"/>
      <c r="O10" s="30"/>
      <c r="P10" s="29"/>
      <c r="Q10" s="22"/>
    </row>
    <row r="11" spans="1:88" s="23" customFormat="1" ht="17.5" customHeight="1" x14ac:dyDescent="0.45">
      <c r="B11" s="50" t="s">
        <v>3</v>
      </c>
      <c r="C11" s="28"/>
      <c r="D11" s="29"/>
      <c r="E11" s="28"/>
      <c r="F11" s="29"/>
      <c r="G11" s="30"/>
      <c r="H11" s="29"/>
      <c r="I11" s="30"/>
      <c r="J11" s="29"/>
      <c r="K11" s="30"/>
      <c r="L11" s="29"/>
      <c r="M11" s="30"/>
      <c r="N11" s="29"/>
      <c r="O11" s="30"/>
      <c r="P11" s="29"/>
      <c r="Q11" s="22"/>
    </row>
    <row r="12" spans="1:88" s="23" customFormat="1" ht="17.5" customHeight="1" x14ac:dyDescent="0.45">
      <c r="B12" s="50" t="s">
        <v>4</v>
      </c>
      <c r="C12" s="28"/>
      <c r="D12" s="29"/>
      <c r="E12" s="28"/>
      <c r="F12" s="29"/>
      <c r="G12" s="30"/>
      <c r="H12" s="29"/>
      <c r="I12" s="30"/>
      <c r="J12" s="29"/>
      <c r="K12" s="30"/>
      <c r="L12" s="29"/>
      <c r="M12" s="30"/>
      <c r="N12" s="29"/>
      <c r="O12" s="30"/>
      <c r="P12" s="29"/>
      <c r="Q12" s="22"/>
    </row>
    <row r="13" spans="1:88" s="23" customFormat="1" ht="17.5" customHeight="1" x14ac:dyDescent="0.45">
      <c r="B13" s="50" t="s">
        <v>2</v>
      </c>
      <c r="C13" s="28"/>
      <c r="D13" s="29"/>
      <c r="E13" s="28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22"/>
    </row>
    <row r="14" spans="1:88" s="23" customFormat="1" ht="17.5" customHeight="1" x14ac:dyDescent="0.45">
      <c r="B14" s="50"/>
      <c r="C14" s="28"/>
      <c r="D14" s="29"/>
      <c r="E14" s="28"/>
      <c r="F14" s="29"/>
      <c r="G14" s="30"/>
      <c r="H14" s="29"/>
      <c r="I14" s="30"/>
      <c r="J14" s="29"/>
      <c r="K14" s="30"/>
      <c r="L14" s="29"/>
      <c r="M14" s="30"/>
      <c r="N14" s="29"/>
      <c r="O14" s="30"/>
      <c r="P14" s="29"/>
      <c r="Q14" s="22"/>
    </row>
    <row r="15" spans="1:88" s="23" customFormat="1" ht="17.5" customHeight="1" x14ac:dyDescent="0.45">
      <c r="B15" s="50" t="s">
        <v>6</v>
      </c>
      <c r="C15" s="28"/>
      <c r="D15" s="29"/>
      <c r="E15" s="28"/>
      <c r="F15" s="29"/>
      <c r="G15" s="30"/>
      <c r="H15" s="29"/>
      <c r="I15" s="30"/>
      <c r="J15" s="29"/>
      <c r="K15" s="30"/>
      <c r="L15" s="29"/>
      <c r="M15" s="30"/>
      <c r="N15" s="29"/>
      <c r="O15" s="30"/>
      <c r="P15" s="29"/>
      <c r="Q15" s="22"/>
    </row>
    <row r="16" spans="1:88" s="23" customFormat="1" ht="17.5" customHeight="1" x14ac:dyDescent="0.45">
      <c r="B16" s="50"/>
      <c r="C16" s="28"/>
      <c r="D16" s="29"/>
      <c r="E16" s="28"/>
      <c r="F16" s="29"/>
      <c r="G16" s="30"/>
      <c r="H16" s="29"/>
      <c r="I16" s="30"/>
      <c r="J16" s="29"/>
      <c r="K16" s="30"/>
      <c r="L16" s="29"/>
      <c r="M16" s="30"/>
      <c r="N16" s="29"/>
      <c r="O16" s="30"/>
      <c r="P16" s="29"/>
      <c r="Q16" s="22"/>
    </row>
    <row r="17" spans="2:21" s="23" customFormat="1" ht="17.5" customHeight="1" x14ac:dyDescent="0.35">
      <c r="B17" s="48"/>
      <c r="C17" s="28"/>
      <c r="D17" s="29"/>
      <c r="E17" s="28"/>
      <c r="F17" s="29"/>
      <c r="G17" s="30"/>
      <c r="H17" s="29"/>
      <c r="I17" s="30"/>
      <c r="J17" s="29"/>
      <c r="K17" s="30"/>
      <c r="L17" s="29"/>
      <c r="M17" s="30"/>
      <c r="N17" s="29"/>
      <c r="O17" s="30"/>
      <c r="P17" s="29"/>
      <c r="Q17" s="22"/>
    </row>
    <row r="18" spans="2:21" s="23" customFormat="1" ht="17.5" customHeight="1" x14ac:dyDescent="0.35">
      <c r="B18" s="48"/>
      <c r="C18" s="28"/>
      <c r="D18" s="29"/>
      <c r="E18" s="28"/>
      <c r="F18" s="29"/>
      <c r="G18" s="30"/>
      <c r="H18" s="29"/>
      <c r="I18" s="30"/>
      <c r="J18" s="29"/>
      <c r="K18" s="30"/>
      <c r="L18" s="29"/>
      <c r="M18" s="30"/>
      <c r="N18" s="29"/>
      <c r="O18" s="30"/>
      <c r="P18" s="29"/>
      <c r="Q18" s="22"/>
    </row>
    <row r="19" spans="2:21" s="23" customFormat="1" ht="17.5" customHeight="1" x14ac:dyDescent="0.35">
      <c r="B19" s="48"/>
      <c r="C19" s="28"/>
      <c r="D19" s="29"/>
      <c r="E19" s="28"/>
      <c r="F19" s="29"/>
      <c r="G19" s="30"/>
      <c r="H19" s="29"/>
      <c r="I19" s="30"/>
      <c r="J19" s="29"/>
      <c r="K19" s="30"/>
      <c r="L19" s="29"/>
      <c r="M19" s="30"/>
      <c r="N19" s="29"/>
      <c r="O19" s="30"/>
      <c r="P19" s="29"/>
      <c r="Q19" s="22"/>
    </row>
    <row r="20" spans="2:21" s="23" customFormat="1" ht="17.5" customHeight="1" x14ac:dyDescent="0.35">
      <c r="B20" s="49"/>
      <c r="C20" s="31" t="s">
        <v>5</v>
      </c>
      <c r="D20" s="32"/>
      <c r="E20" s="31" t="s">
        <v>5</v>
      </c>
      <c r="F20" s="32"/>
      <c r="G20" s="33" t="s">
        <v>5</v>
      </c>
      <c r="H20" s="32"/>
      <c r="I20" s="33" t="s">
        <v>5</v>
      </c>
      <c r="J20" s="32"/>
      <c r="K20" s="33" t="s">
        <v>5</v>
      </c>
      <c r="L20" s="32"/>
      <c r="M20" s="33" t="s">
        <v>5</v>
      </c>
      <c r="N20" s="32"/>
      <c r="O20" s="33" t="s">
        <v>5</v>
      </c>
      <c r="P20" s="32"/>
      <c r="Q20" s="22"/>
    </row>
    <row r="21" spans="2:21" s="51" customFormat="1" ht="18" customHeight="1" x14ac:dyDescent="0.3">
      <c r="B21" s="52"/>
      <c r="C21" s="55">
        <f>IF(DAY(JulSun1)=1,IF(AND(YEAR(JulSun1+1)=CalendarYear,MONTH(JulSun1+1)=7),JulSun1+1,""),IF(AND(YEAR(JulSun1+8)=CalendarYear,MONTH(JulSun1+8)=7),JulSun1+8,""))</f>
        <v>44382</v>
      </c>
      <c r="D21" s="61" t="s">
        <v>29</v>
      </c>
      <c r="E21" s="55">
        <f>IF(DAY(JulSun1)=1,IF(AND(YEAR(JulSun1+2)=CalendarYear,MONTH(JulSun1+2)=7),JulSun1+2,""),IF(AND(YEAR(JulSun1+9)=CalendarYear,MONTH(JulSun1+9)=7),JulSun1+9,""))</f>
        <v>44383</v>
      </c>
      <c r="F21" s="61" t="s">
        <v>29</v>
      </c>
      <c r="G21" s="56">
        <f>IF(DAY(JulSun1)=1,IF(AND(YEAR(JulSun1+3)=CalendarYear,MONTH(JulSun1+3)=7),JulSun1+3,""),IF(AND(YEAR(JulSun1+10)=CalendarYear,MONTH(JulSun1+10)=7),JulSun1+10,""))</f>
        <v>44384</v>
      </c>
      <c r="H21" s="61" t="s">
        <v>29</v>
      </c>
      <c r="I21" s="56">
        <f>IF(DAY(JulSun1)=1,IF(AND(YEAR(JulSun1+4)=CalendarYear,MONTH(JulSun1+4)=7),JulSun1+4,""),IF(AND(YEAR(JulSun1+11)=CalendarYear,MONTH(JulSun1+11)=7),JulSun1+11,""))</f>
        <v>44385</v>
      </c>
      <c r="J21" s="61" t="s">
        <v>29</v>
      </c>
      <c r="K21" s="56">
        <f>IF(DAY(JulSun1)=1,IF(AND(YEAR(JulSun1+5)=CalendarYear,MONTH(JulSun1+5)=7),JulSun1+5,""),IF(AND(YEAR(JulSun1+12)=CalendarYear,MONTH(JulSun1+12)=7),JulSun1+12,""))</f>
        <v>44386</v>
      </c>
      <c r="L21" s="61" t="s">
        <v>29</v>
      </c>
      <c r="M21" s="56">
        <f>IF(DAY(JulSun1)=1,IF(AND(YEAR(JulSun1+6)=CalendarYear,MONTH(JulSun1+6)=7),JulSun1+6,""),IF(AND(YEAR(JulSun1+13)=CalendarYear,MONTH(JulSun1+13)=7),JulSun1+13,""))</f>
        <v>44387</v>
      </c>
      <c r="N21" s="61" t="s">
        <v>29</v>
      </c>
      <c r="O21" s="56">
        <f>IF(DAY(JulSun1)=1,IF(AND(YEAR(JulSun1+7)=CalendarYear,MONTH(JulSun1+7)=7),JulSun1+7,""),IF(AND(YEAR(JulSun1+14)=CalendarYear,MONTH(JulSun1+14)=7),JulSun1+14,""))</f>
        <v>44388</v>
      </c>
      <c r="P21" s="61" t="s">
        <v>29</v>
      </c>
      <c r="Q21" s="47"/>
      <c r="T21" s="53"/>
      <c r="U21" s="54"/>
    </row>
    <row r="22" spans="2:21" s="23" customFormat="1" ht="17.5" customHeight="1" x14ac:dyDescent="0.45">
      <c r="B22" s="50" t="s">
        <v>1</v>
      </c>
      <c r="C22" s="34"/>
      <c r="D22" s="35"/>
      <c r="E22" s="34"/>
      <c r="F22" s="35"/>
      <c r="G22" s="36"/>
      <c r="H22" s="35"/>
      <c r="I22" s="36"/>
      <c r="J22" s="35"/>
      <c r="K22" s="36"/>
      <c r="L22" s="35"/>
      <c r="M22" s="36"/>
      <c r="N22" s="35"/>
      <c r="O22" s="36"/>
      <c r="P22" s="35"/>
      <c r="Q22" s="22"/>
    </row>
    <row r="23" spans="2:21" s="23" customFormat="1" ht="17.5" customHeight="1" x14ac:dyDescent="0.45">
      <c r="B23" s="50" t="s">
        <v>2</v>
      </c>
      <c r="C23" s="37"/>
      <c r="D23" s="38"/>
      <c r="E23" s="37"/>
      <c r="F23" s="38"/>
      <c r="G23" s="39"/>
      <c r="H23" s="38"/>
      <c r="I23" s="39"/>
      <c r="J23" s="38"/>
      <c r="K23" s="39"/>
      <c r="L23" s="38"/>
      <c r="M23" s="39"/>
      <c r="N23" s="38"/>
      <c r="O23" s="39"/>
      <c r="P23" s="38"/>
      <c r="Q23" s="22"/>
    </row>
    <row r="24" spans="2:21" s="23" customFormat="1" ht="17.5" customHeight="1" x14ac:dyDescent="0.45">
      <c r="B24" s="50" t="s">
        <v>3</v>
      </c>
      <c r="C24" s="37"/>
      <c r="D24" s="38"/>
      <c r="E24" s="37"/>
      <c r="F24" s="38"/>
      <c r="G24" s="39"/>
      <c r="H24" s="38"/>
      <c r="I24" s="39"/>
      <c r="J24" s="38"/>
      <c r="K24" s="39"/>
      <c r="L24" s="38"/>
      <c r="M24" s="39"/>
      <c r="N24" s="38"/>
      <c r="O24" s="39"/>
      <c r="P24" s="38"/>
      <c r="Q24" s="22"/>
    </row>
    <row r="25" spans="2:21" s="23" customFormat="1" ht="17.5" customHeight="1" x14ac:dyDescent="0.45">
      <c r="B25" s="50" t="s">
        <v>4</v>
      </c>
      <c r="C25" s="37"/>
      <c r="D25" s="38"/>
      <c r="E25" s="37"/>
      <c r="F25" s="38"/>
      <c r="G25" s="39"/>
      <c r="H25" s="38"/>
      <c r="I25" s="39"/>
      <c r="J25" s="38"/>
      <c r="K25" s="39"/>
      <c r="L25" s="38"/>
      <c r="M25" s="39"/>
      <c r="N25" s="38"/>
      <c r="O25" s="39"/>
      <c r="P25" s="38"/>
      <c r="Q25" s="22"/>
    </row>
    <row r="26" spans="2:21" s="23" customFormat="1" ht="17.5" customHeight="1" x14ac:dyDescent="0.45">
      <c r="B26" s="50" t="s">
        <v>2</v>
      </c>
      <c r="C26" s="37"/>
      <c r="D26" s="38"/>
      <c r="E26" s="37"/>
      <c r="F26" s="38"/>
      <c r="G26" s="39"/>
      <c r="H26" s="38"/>
      <c r="I26" s="39"/>
      <c r="J26" s="38"/>
      <c r="K26" s="39"/>
      <c r="L26" s="38"/>
      <c r="M26" s="39"/>
      <c r="N26" s="38"/>
      <c r="O26" s="39"/>
      <c r="P26" s="38"/>
      <c r="Q26" s="22"/>
    </row>
    <row r="27" spans="2:21" s="23" customFormat="1" ht="17.5" customHeight="1" x14ac:dyDescent="0.45">
      <c r="B27" s="50"/>
      <c r="C27" s="37"/>
      <c r="D27" s="38"/>
      <c r="E27" s="37"/>
      <c r="F27" s="38"/>
      <c r="G27" s="39"/>
      <c r="H27" s="38"/>
      <c r="I27" s="39"/>
      <c r="J27" s="38"/>
      <c r="K27" s="39"/>
      <c r="L27" s="38"/>
      <c r="M27" s="39"/>
      <c r="N27" s="38"/>
      <c r="O27" s="39"/>
      <c r="P27" s="38"/>
      <c r="Q27" s="22"/>
    </row>
    <row r="28" spans="2:21" s="23" customFormat="1" ht="17.5" customHeight="1" x14ac:dyDescent="0.45">
      <c r="B28" s="50" t="s">
        <v>6</v>
      </c>
      <c r="C28" s="37"/>
      <c r="D28" s="38"/>
      <c r="E28" s="37"/>
      <c r="F28" s="38"/>
      <c r="G28" s="39"/>
      <c r="H28" s="38"/>
      <c r="I28" s="39"/>
      <c r="J28" s="38"/>
      <c r="K28" s="39"/>
      <c r="L28" s="38"/>
      <c r="M28" s="39"/>
      <c r="N28" s="38"/>
      <c r="O28" s="39"/>
      <c r="P28" s="38"/>
      <c r="Q28" s="22"/>
    </row>
    <row r="29" spans="2:21" s="23" customFormat="1" ht="17.5" customHeight="1" x14ac:dyDescent="0.35">
      <c r="B29" s="48"/>
      <c r="C29" s="37"/>
      <c r="D29" s="38"/>
      <c r="E29" s="37"/>
      <c r="F29" s="38"/>
      <c r="G29" s="39"/>
      <c r="H29" s="38"/>
      <c r="I29" s="39"/>
      <c r="J29" s="38"/>
      <c r="K29" s="39"/>
      <c r="L29" s="38"/>
      <c r="M29" s="39"/>
      <c r="N29" s="38"/>
      <c r="O29" s="39"/>
      <c r="P29" s="38"/>
      <c r="Q29" s="22"/>
    </row>
    <row r="30" spans="2:21" s="23" customFormat="1" ht="17.5" customHeight="1" x14ac:dyDescent="0.35">
      <c r="B30" s="48"/>
      <c r="C30" s="37"/>
      <c r="D30" s="38"/>
      <c r="E30" s="37"/>
      <c r="F30" s="38"/>
      <c r="G30" s="39"/>
      <c r="H30" s="38"/>
      <c r="I30" s="39"/>
      <c r="J30" s="38"/>
      <c r="K30" s="39"/>
      <c r="L30" s="38"/>
      <c r="M30" s="39"/>
      <c r="N30" s="38"/>
      <c r="O30" s="39"/>
      <c r="P30" s="38"/>
      <c r="Q30" s="22"/>
    </row>
    <row r="31" spans="2:21" s="23" customFormat="1" ht="17.5" customHeight="1" x14ac:dyDescent="0.35">
      <c r="B31" s="48"/>
      <c r="C31" s="37"/>
      <c r="D31" s="38"/>
      <c r="E31" s="37"/>
      <c r="F31" s="38"/>
      <c r="G31" s="39"/>
      <c r="H31" s="38"/>
      <c r="I31" s="39"/>
      <c r="J31" s="38"/>
      <c r="K31" s="39"/>
      <c r="L31" s="38"/>
      <c r="M31" s="39"/>
      <c r="N31" s="38"/>
      <c r="O31" s="39"/>
      <c r="P31" s="38"/>
      <c r="Q31" s="22"/>
    </row>
    <row r="32" spans="2:21" s="23" customFormat="1" ht="17.5" customHeight="1" x14ac:dyDescent="0.35">
      <c r="B32" s="48"/>
      <c r="C32" s="37"/>
      <c r="D32" s="38"/>
      <c r="E32" s="37"/>
      <c r="F32" s="38"/>
      <c r="G32" s="39"/>
      <c r="H32" s="38"/>
      <c r="I32" s="39"/>
      <c r="J32" s="38"/>
      <c r="K32" s="39"/>
      <c r="L32" s="38"/>
      <c r="M32" s="39"/>
      <c r="N32" s="38"/>
      <c r="O32" s="39"/>
      <c r="P32" s="38"/>
      <c r="Q32" s="22"/>
    </row>
    <row r="33" spans="2:21" s="23" customFormat="1" ht="17.5" customHeight="1" x14ac:dyDescent="0.35">
      <c r="B33" s="49"/>
      <c r="C33" s="40" t="s">
        <v>5</v>
      </c>
      <c r="D33" s="41"/>
      <c r="E33" s="40" t="s">
        <v>5</v>
      </c>
      <c r="F33" s="41"/>
      <c r="G33" s="42" t="s">
        <v>5</v>
      </c>
      <c r="H33" s="41"/>
      <c r="I33" s="42" t="s">
        <v>5</v>
      </c>
      <c r="J33" s="41"/>
      <c r="K33" s="42" t="s">
        <v>5</v>
      </c>
      <c r="L33" s="41"/>
      <c r="M33" s="42" t="s">
        <v>5</v>
      </c>
      <c r="N33" s="41"/>
      <c r="O33" s="42" t="s">
        <v>5</v>
      </c>
      <c r="P33" s="41"/>
      <c r="Q33" s="22"/>
    </row>
    <row r="34" spans="2:21" s="51" customFormat="1" ht="18" customHeight="1" x14ac:dyDescent="0.3">
      <c r="B34" s="52"/>
      <c r="C34" s="55">
        <f>IF(DAY(JulSun1)=1,IF(AND(YEAR(JulSun1+8)=CalendarYear,MONTH(JulSun1+8)=7),JulSun1+8,""),IF(AND(YEAR(JulSun1+15)=CalendarYear,MONTH(JulSun1+15)=7),JulSun1+15,""))</f>
        <v>44389</v>
      </c>
      <c r="D34" s="61" t="s">
        <v>29</v>
      </c>
      <c r="E34" s="55">
        <f>IF(DAY(JulSun1)=1,IF(AND(YEAR(JulSun1+9)=CalendarYear,MONTH(JulSun1+9)=7),JulSun1+9,""),IF(AND(YEAR(JulSun1+16)=CalendarYear,MONTH(JulSun1+16)=7),JulSun1+16,""))</f>
        <v>44390</v>
      </c>
      <c r="F34" s="61" t="s">
        <v>29</v>
      </c>
      <c r="G34" s="56">
        <f>IF(DAY(JulSun1)=1,IF(AND(YEAR(JulSun1+10)=CalendarYear,MONTH(JulSun1+10)=7),JulSun1+10,""),IF(AND(YEAR(JulSun1+17)=CalendarYear,MONTH(JulSun1+17)=7),JulSun1+17,""))</f>
        <v>44391</v>
      </c>
      <c r="H34" s="61" t="s">
        <v>29</v>
      </c>
      <c r="I34" s="56">
        <f>IF(DAY(JulSun1)=1,IF(AND(YEAR(JulSun1+11)=CalendarYear,MONTH(JulSun1+11)=7),JulSun1+11,""),IF(AND(YEAR(JulSun1+18)=CalendarYear,MONTH(JulSun1+18)=7),JulSun1+18,""))</f>
        <v>44392</v>
      </c>
      <c r="J34" s="61" t="s">
        <v>29</v>
      </c>
      <c r="K34" s="56">
        <f>IF(DAY(JulSun1)=1,IF(AND(YEAR(JulSun1+12)=CalendarYear,MONTH(JulSun1+12)=7),JulSun1+12,""),IF(AND(YEAR(JulSun1+19)=CalendarYear,MONTH(JulSun1+19)=7),JulSun1+19,""))</f>
        <v>44393</v>
      </c>
      <c r="L34" s="61" t="s">
        <v>29</v>
      </c>
      <c r="M34" s="56">
        <f>IF(DAY(JulSun1)=1,IF(AND(YEAR(JulSun1+13)=CalendarYear,MONTH(JulSun1+13)=7),JulSun1+13,""),IF(AND(YEAR(JulSun1+20)=CalendarYear,MONTH(JulSun1+20)=7),JulSun1+20,""))</f>
        <v>44394</v>
      </c>
      <c r="N34" s="61" t="s">
        <v>29</v>
      </c>
      <c r="O34" s="56">
        <f>IF(DAY(JulSun1)=1,IF(AND(YEAR(JulSun1+14)=CalendarYear,MONTH(JulSun1+14)=7),JulSun1+14,""),IF(AND(YEAR(JulSun1+21)=CalendarYear,MONTH(JulSun1+21)=7),JulSun1+21,""))</f>
        <v>44395</v>
      </c>
      <c r="P34" s="61" t="s">
        <v>29</v>
      </c>
      <c r="Q34" s="47"/>
      <c r="T34" s="53"/>
      <c r="U34" s="54"/>
    </row>
    <row r="35" spans="2:21" s="23" customFormat="1" ht="17.5" customHeight="1" x14ac:dyDescent="0.45">
      <c r="B35" s="50" t="s">
        <v>1</v>
      </c>
      <c r="C35" s="25"/>
      <c r="D35" s="26"/>
      <c r="E35" s="25"/>
      <c r="F35" s="26"/>
      <c r="G35" s="27"/>
      <c r="H35" s="26"/>
      <c r="I35" s="27"/>
      <c r="J35" s="26"/>
      <c r="K35" s="27"/>
      <c r="L35" s="26"/>
      <c r="M35" s="27"/>
      <c r="N35" s="26"/>
      <c r="O35" s="27"/>
      <c r="P35" s="26"/>
      <c r="Q35" s="22"/>
    </row>
    <row r="36" spans="2:21" s="23" customFormat="1" ht="17.5" customHeight="1" x14ac:dyDescent="0.45">
      <c r="B36" s="50" t="s">
        <v>2</v>
      </c>
      <c r="C36" s="28"/>
      <c r="D36" s="29"/>
      <c r="E36" s="28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22"/>
    </row>
    <row r="37" spans="2:21" s="23" customFormat="1" ht="17.5" customHeight="1" x14ac:dyDescent="0.45">
      <c r="B37" s="50" t="s">
        <v>3</v>
      </c>
      <c r="C37" s="28"/>
      <c r="D37" s="29"/>
      <c r="E37" s="28"/>
      <c r="F37" s="29"/>
      <c r="G37" s="30"/>
      <c r="H37" s="29"/>
      <c r="I37" s="30"/>
      <c r="J37" s="29"/>
      <c r="K37" s="30"/>
      <c r="L37" s="29"/>
      <c r="M37" s="30"/>
      <c r="N37" s="29"/>
      <c r="O37" s="30"/>
      <c r="P37" s="29"/>
      <c r="Q37" s="22"/>
    </row>
    <row r="38" spans="2:21" s="23" customFormat="1" ht="17.5" customHeight="1" x14ac:dyDescent="0.45">
      <c r="B38" s="50" t="s">
        <v>4</v>
      </c>
      <c r="C38" s="28"/>
      <c r="D38" s="29"/>
      <c r="E38" s="28"/>
      <c r="F38" s="29"/>
      <c r="G38" s="30"/>
      <c r="H38" s="29"/>
      <c r="I38" s="30"/>
      <c r="J38" s="29"/>
      <c r="K38" s="30"/>
      <c r="L38" s="29"/>
      <c r="M38" s="30"/>
      <c r="N38" s="29"/>
      <c r="O38" s="30"/>
      <c r="P38" s="29"/>
      <c r="Q38" s="22"/>
    </row>
    <row r="39" spans="2:21" s="23" customFormat="1" ht="17.5" customHeight="1" x14ac:dyDescent="0.45">
      <c r="B39" s="50" t="s">
        <v>2</v>
      </c>
      <c r="C39" s="28"/>
      <c r="D39" s="29"/>
      <c r="E39" s="28"/>
      <c r="F39" s="29"/>
      <c r="G39" s="30"/>
      <c r="H39" s="29"/>
      <c r="I39" s="30"/>
      <c r="J39" s="29"/>
      <c r="K39" s="30"/>
      <c r="L39" s="29"/>
      <c r="M39" s="30"/>
      <c r="N39" s="29"/>
      <c r="O39" s="30"/>
      <c r="P39" s="29"/>
      <c r="Q39" s="22"/>
    </row>
    <row r="40" spans="2:21" s="23" customFormat="1" ht="17.5" customHeight="1" x14ac:dyDescent="0.45">
      <c r="B40" s="50"/>
      <c r="C40" s="28"/>
      <c r="D40" s="29"/>
      <c r="E40" s="28"/>
      <c r="F40" s="29"/>
      <c r="G40" s="30"/>
      <c r="H40" s="29"/>
      <c r="I40" s="30"/>
      <c r="J40" s="29"/>
      <c r="K40" s="30"/>
      <c r="L40" s="29"/>
      <c r="M40" s="30"/>
      <c r="N40" s="29"/>
      <c r="O40" s="30"/>
      <c r="P40" s="29"/>
      <c r="Q40" s="22"/>
    </row>
    <row r="41" spans="2:21" s="23" customFormat="1" ht="17.5" customHeight="1" x14ac:dyDescent="0.45">
      <c r="B41" s="50" t="s">
        <v>6</v>
      </c>
      <c r="C41" s="28"/>
      <c r="D41" s="29"/>
      <c r="E41" s="28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22"/>
    </row>
    <row r="42" spans="2:21" s="23" customFormat="1" ht="17.5" customHeight="1" x14ac:dyDescent="0.35">
      <c r="B42" s="48"/>
      <c r="C42" s="28"/>
      <c r="D42" s="29"/>
      <c r="E42" s="28"/>
      <c r="F42" s="29"/>
      <c r="G42" s="30"/>
      <c r="H42" s="29"/>
      <c r="I42" s="30"/>
      <c r="J42" s="29"/>
      <c r="K42" s="30"/>
      <c r="L42" s="29"/>
      <c r="M42" s="30"/>
      <c r="N42" s="29"/>
      <c r="O42" s="30"/>
      <c r="P42" s="29"/>
      <c r="Q42" s="22"/>
    </row>
    <row r="43" spans="2:21" s="23" customFormat="1" ht="17.5" customHeight="1" x14ac:dyDescent="0.35">
      <c r="B43" s="48"/>
      <c r="C43" s="28"/>
      <c r="D43" s="29"/>
      <c r="E43" s="28"/>
      <c r="F43" s="29"/>
      <c r="G43" s="30"/>
      <c r="H43" s="29"/>
      <c r="I43" s="30"/>
      <c r="J43" s="29"/>
      <c r="K43" s="30"/>
      <c r="L43" s="29"/>
      <c r="M43" s="30"/>
      <c r="N43" s="29"/>
      <c r="O43" s="30"/>
      <c r="P43" s="29"/>
      <c r="Q43" s="22"/>
    </row>
    <row r="44" spans="2:21" s="23" customFormat="1" ht="17.5" customHeight="1" x14ac:dyDescent="0.35">
      <c r="B44" s="48"/>
      <c r="C44" s="28"/>
      <c r="D44" s="29"/>
      <c r="E44" s="28"/>
      <c r="F44" s="29"/>
      <c r="G44" s="30"/>
      <c r="H44" s="29"/>
      <c r="I44" s="30"/>
      <c r="J44" s="29"/>
      <c r="K44" s="30"/>
      <c r="L44" s="29"/>
      <c r="M44" s="30"/>
      <c r="N44" s="29"/>
      <c r="O44" s="30"/>
      <c r="P44" s="29"/>
      <c r="Q44" s="22"/>
    </row>
    <row r="45" spans="2:21" s="23" customFormat="1" ht="17.5" customHeight="1" x14ac:dyDescent="0.35">
      <c r="B45" s="48"/>
      <c r="C45" s="28"/>
      <c r="D45" s="29"/>
      <c r="E45" s="28"/>
      <c r="F45" s="29"/>
      <c r="G45" s="30"/>
      <c r="H45" s="29"/>
      <c r="I45" s="30"/>
      <c r="J45" s="29"/>
      <c r="K45" s="30"/>
      <c r="L45" s="29"/>
      <c r="M45" s="30"/>
      <c r="N45" s="29"/>
      <c r="O45" s="30"/>
      <c r="P45" s="29"/>
      <c r="Q45" s="22"/>
    </row>
    <row r="46" spans="2:21" s="23" customFormat="1" ht="17.5" customHeight="1" x14ac:dyDescent="0.35">
      <c r="B46" s="49"/>
      <c r="C46" s="31" t="s">
        <v>5</v>
      </c>
      <c r="D46" s="32"/>
      <c r="E46" s="31" t="s">
        <v>5</v>
      </c>
      <c r="F46" s="32"/>
      <c r="G46" s="33" t="s">
        <v>5</v>
      </c>
      <c r="H46" s="32"/>
      <c r="I46" s="33" t="s">
        <v>5</v>
      </c>
      <c r="J46" s="32"/>
      <c r="K46" s="33" t="s">
        <v>5</v>
      </c>
      <c r="L46" s="32"/>
      <c r="M46" s="33" t="s">
        <v>5</v>
      </c>
      <c r="N46" s="32"/>
      <c r="O46" s="33" t="s">
        <v>5</v>
      </c>
      <c r="P46" s="32"/>
      <c r="Q46" s="22"/>
    </row>
    <row r="47" spans="2:21" s="51" customFormat="1" ht="18" customHeight="1" x14ac:dyDescent="0.3">
      <c r="B47" s="52"/>
      <c r="C47" s="55">
        <f>IF(DAY(JulSun1)=1,IF(AND(YEAR(JulSun1+15)=CalendarYear,MONTH(JulSun1+15)=7),JulSun1+15,""),IF(AND(YEAR(JulSun1+22)=CalendarYear,MONTH(JulSun1+22)=7),JulSun1+22,""))</f>
        <v>44396</v>
      </c>
      <c r="D47" s="61" t="s">
        <v>29</v>
      </c>
      <c r="E47" s="55">
        <f>IF(DAY(JulSun1)=1,IF(AND(YEAR(JulSun1+16)=CalendarYear,MONTH(JulSun1+16)=7),JulSun1+16,""),IF(AND(YEAR(JulSun1+23)=CalendarYear,MONTH(JulSun1+23)=7),JulSun1+23,""))</f>
        <v>44397</v>
      </c>
      <c r="F47" s="61" t="s">
        <v>29</v>
      </c>
      <c r="G47" s="56">
        <f>IF(DAY(JulSun1)=1,IF(AND(YEAR(JulSun1+17)=CalendarYear,MONTH(JulSun1+17)=7),JulSun1+17,""),IF(AND(YEAR(JulSun1+24)=CalendarYear,MONTH(JulSun1+24)=7),JulSun1+24,""))</f>
        <v>44398</v>
      </c>
      <c r="H47" s="61" t="s">
        <v>29</v>
      </c>
      <c r="I47" s="56">
        <f>IF(DAY(JulSun1)=1,IF(AND(YEAR(JulSun1+18)=CalendarYear,MONTH(JulSun1+18)=7),JulSun1+18,""),IF(AND(YEAR(JulSun1+25)=CalendarYear,MONTH(JulSun1+25)=7),JulSun1+25,""))</f>
        <v>44399</v>
      </c>
      <c r="J47" s="61" t="s">
        <v>29</v>
      </c>
      <c r="K47" s="56">
        <f>IF(DAY(JulSun1)=1,IF(AND(YEAR(JulSun1+19)=CalendarYear,MONTH(JulSun1+19)=7),JulSun1+19,""),IF(AND(YEAR(JulSun1+26)=CalendarYear,MONTH(JulSun1+26)=7),JulSun1+26,""))</f>
        <v>44400</v>
      </c>
      <c r="L47" s="61" t="s">
        <v>29</v>
      </c>
      <c r="M47" s="56">
        <f>IF(DAY(JulSun1)=1,IF(AND(YEAR(JulSun1+20)=CalendarYear,MONTH(JulSun1+20)=7),JulSun1+20,""),IF(AND(YEAR(JulSun1+27)=CalendarYear,MONTH(JulSun1+27)=7),JulSun1+27,""))</f>
        <v>44401</v>
      </c>
      <c r="N47" s="61" t="s">
        <v>29</v>
      </c>
      <c r="O47" s="56">
        <f>IF(DAY(JulSun1)=1,IF(AND(YEAR(JulSun1+21)=CalendarYear,MONTH(JulSun1+21)=7),JulSun1+21,""),IF(AND(YEAR(JulSun1+28)=CalendarYear,MONTH(JulSun1+28)=7),JulSun1+28,""))</f>
        <v>44402</v>
      </c>
      <c r="P47" s="61" t="s">
        <v>29</v>
      </c>
      <c r="Q47" s="47"/>
      <c r="T47" s="53"/>
      <c r="U47" s="54"/>
    </row>
    <row r="48" spans="2:21" s="23" customFormat="1" ht="17.5" customHeight="1" x14ac:dyDescent="0.45">
      <c r="B48" s="50" t="s">
        <v>1</v>
      </c>
      <c r="C48" s="34"/>
      <c r="D48" s="35"/>
      <c r="E48" s="34"/>
      <c r="F48" s="35"/>
      <c r="G48" s="36"/>
      <c r="H48" s="35"/>
      <c r="I48" s="36"/>
      <c r="J48" s="35"/>
      <c r="K48" s="36"/>
      <c r="L48" s="35"/>
      <c r="M48" s="36"/>
      <c r="N48" s="35"/>
      <c r="O48" s="36"/>
      <c r="P48" s="35"/>
      <c r="Q48" s="22"/>
    </row>
    <row r="49" spans="2:21" s="23" customFormat="1" ht="17.5" customHeight="1" x14ac:dyDescent="0.45">
      <c r="B49" s="50" t="s">
        <v>2</v>
      </c>
      <c r="C49" s="37"/>
      <c r="D49" s="38"/>
      <c r="E49" s="37"/>
      <c r="F49" s="38"/>
      <c r="G49" s="39"/>
      <c r="H49" s="38"/>
      <c r="I49" s="39"/>
      <c r="J49" s="38"/>
      <c r="K49" s="39"/>
      <c r="L49" s="38"/>
      <c r="M49" s="39"/>
      <c r="N49" s="38"/>
      <c r="O49" s="39"/>
      <c r="P49" s="38"/>
      <c r="Q49" s="22"/>
    </row>
    <row r="50" spans="2:21" s="23" customFormat="1" ht="17.5" customHeight="1" x14ac:dyDescent="0.45">
      <c r="B50" s="50" t="s">
        <v>3</v>
      </c>
      <c r="C50" s="37"/>
      <c r="D50" s="38"/>
      <c r="E50" s="37"/>
      <c r="F50" s="38"/>
      <c r="G50" s="39"/>
      <c r="H50" s="38"/>
      <c r="I50" s="39"/>
      <c r="J50" s="38"/>
      <c r="K50" s="39"/>
      <c r="L50" s="38"/>
      <c r="M50" s="39"/>
      <c r="N50" s="38"/>
      <c r="O50" s="39"/>
      <c r="P50" s="38"/>
      <c r="Q50" s="22"/>
    </row>
    <row r="51" spans="2:21" s="23" customFormat="1" ht="17.5" customHeight="1" x14ac:dyDescent="0.45">
      <c r="B51" s="50" t="s">
        <v>4</v>
      </c>
      <c r="C51" s="37"/>
      <c r="D51" s="38"/>
      <c r="E51" s="37"/>
      <c r="F51" s="38"/>
      <c r="G51" s="39"/>
      <c r="H51" s="38"/>
      <c r="I51" s="39"/>
      <c r="J51" s="38"/>
      <c r="K51" s="39"/>
      <c r="L51" s="38"/>
      <c r="M51" s="39"/>
      <c r="N51" s="38"/>
      <c r="O51" s="39"/>
      <c r="P51" s="38"/>
      <c r="Q51" s="22"/>
    </row>
    <row r="52" spans="2:21" s="23" customFormat="1" ht="17.5" customHeight="1" x14ac:dyDescent="0.45">
      <c r="B52" s="50" t="s">
        <v>2</v>
      </c>
      <c r="C52" s="37"/>
      <c r="D52" s="38"/>
      <c r="E52" s="37"/>
      <c r="F52" s="38"/>
      <c r="G52" s="39"/>
      <c r="H52" s="38"/>
      <c r="I52" s="39"/>
      <c r="J52" s="38"/>
      <c r="K52" s="39"/>
      <c r="L52" s="38"/>
      <c r="M52" s="39"/>
      <c r="N52" s="38"/>
      <c r="O52" s="39"/>
      <c r="P52" s="38"/>
      <c r="Q52" s="22"/>
    </row>
    <row r="53" spans="2:21" s="23" customFormat="1" ht="17.5" customHeight="1" x14ac:dyDescent="0.45">
      <c r="B53" s="50"/>
      <c r="C53" s="37"/>
      <c r="D53" s="38"/>
      <c r="E53" s="37"/>
      <c r="F53" s="38"/>
      <c r="G53" s="39"/>
      <c r="H53" s="38"/>
      <c r="I53" s="39"/>
      <c r="J53" s="38"/>
      <c r="K53" s="39"/>
      <c r="L53" s="38"/>
      <c r="M53" s="39"/>
      <c r="N53" s="38"/>
      <c r="O53" s="39"/>
      <c r="P53" s="38"/>
      <c r="Q53" s="22"/>
    </row>
    <row r="54" spans="2:21" s="23" customFormat="1" ht="17.5" customHeight="1" x14ac:dyDescent="0.45">
      <c r="B54" s="50" t="s">
        <v>6</v>
      </c>
      <c r="C54" s="37"/>
      <c r="D54" s="38"/>
      <c r="E54" s="37"/>
      <c r="F54" s="38"/>
      <c r="G54" s="39"/>
      <c r="H54" s="38"/>
      <c r="I54" s="39"/>
      <c r="J54" s="38"/>
      <c r="K54" s="39"/>
      <c r="L54" s="38"/>
      <c r="M54" s="39"/>
      <c r="N54" s="38"/>
      <c r="O54" s="39"/>
      <c r="P54" s="38"/>
      <c r="Q54" s="22"/>
    </row>
    <row r="55" spans="2:21" s="23" customFormat="1" ht="17.5" customHeight="1" x14ac:dyDescent="0.35">
      <c r="B55" s="48"/>
      <c r="C55" s="37"/>
      <c r="D55" s="38"/>
      <c r="E55" s="37"/>
      <c r="F55" s="38"/>
      <c r="G55" s="39"/>
      <c r="H55" s="38"/>
      <c r="I55" s="39"/>
      <c r="J55" s="38"/>
      <c r="K55" s="39"/>
      <c r="L55" s="38"/>
      <c r="M55" s="39"/>
      <c r="N55" s="38"/>
      <c r="O55" s="39"/>
      <c r="P55" s="38"/>
      <c r="Q55" s="22"/>
    </row>
    <row r="56" spans="2:21" s="23" customFormat="1" ht="17.5" customHeight="1" x14ac:dyDescent="0.35">
      <c r="B56" s="48"/>
      <c r="C56" s="37"/>
      <c r="D56" s="38"/>
      <c r="E56" s="37"/>
      <c r="F56" s="38"/>
      <c r="G56" s="39"/>
      <c r="H56" s="38"/>
      <c r="I56" s="39"/>
      <c r="J56" s="38"/>
      <c r="K56" s="39"/>
      <c r="L56" s="38"/>
      <c r="M56" s="39"/>
      <c r="N56" s="38"/>
      <c r="O56" s="39"/>
      <c r="P56" s="38"/>
      <c r="Q56" s="22"/>
    </row>
    <row r="57" spans="2:21" s="23" customFormat="1" ht="17.5" customHeight="1" x14ac:dyDescent="0.35">
      <c r="B57" s="48"/>
      <c r="C57" s="37"/>
      <c r="D57" s="38"/>
      <c r="E57" s="37"/>
      <c r="F57" s="38"/>
      <c r="G57" s="39"/>
      <c r="H57" s="38"/>
      <c r="I57" s="39"/>
      <c r="J57" s="38"/>
      <c r="K57" s="39"/>
      <c r="L57" s="38"/>
      <c r="M57" s="39"/>
      <c r="N57" s="38"/>
      <c r="O57" s="39"/>
      <c r="P57" s="38"/>
      <c r="Q57" s="22"/>
    </row>
    <row r="58" spans="2:21" s="23" customFormat="1" ht="17.5" customHeight="1" x14ac:dyDescent="0.35">
      <c r="B58" s="48"/>
      <c r="C58" s="37"/>
      <c r="D58" s="38"/>
      <c r="E58" s="37"/>
      <c r="F58" s="38"/>
      <c r="G58" s="39"/>
      <c r="H58" s="38"/>
      <c r="I58" s="39"/>
      <c r="J58" s="38"/>
      <c r="K58" s="39"/>
      <c r="L58" s="38"/>
      <c r="M58" s="39"/>
      <c r="N58" s="38"/>
      <c r="O58" s="39"/>
      <c r="P58" s="38"/>
      <c r="Q58" s="22"/>
    </row>
    <row r="59" spans="2:21" s="23" customFormat="1" ht="17.5" customHeight="1" x14ac:dyDescent="0.35">
      <c r="B59" s="49"/>
      <c r="C59" s="40" t="s">
        <v>5</v>
      </c>
      <c r="D59" s="41"/>
      <c r="E59" s="40" t="s">
        <v>5</v>
      </c>
      <c r="F59" s="41"/>
      <c r="G59" s="42" t="s">
        <v>5</v>
      </c>
      <c r="H59" s="41"/>
      <c r="I59" s="42" t="s">
        <v>5</v>
      </c>
      <c r="J59" s="41"/>
      <c r="K59" s="42" t="s">
        <v>5</v>
      </c>
      <c r="L59" s="41"/>
      <c r="M59" s="42" t="s">
        <v>5</v>
      </c>
      <c r="N59" s="41"/>
      <c r="O59" s="42" t="s">
        <v>5</v>
      </c>
      <c r="P59" s="41"/>
      <c r="Q59" s="22"/>
    </row>
    <row r="60" spans="2:21" s="51" customFormat="1" ht="18" customHeight="1" x14ac:dyDescent="0.3">
      <c r="B60" s="52"/>
      <c r="C60" s="55">
        <f>IF(DAY(JulSun1)=1,IF(AND(YEAR(JulSun1+22)=CalendarYear,MONTH(JulSun1+22)=7),JulSun1+22,""),IF(AND(YEAR(JulSun1+29)=CalendarYear,MONTH(JulSun1+29)=7),JulSun1+29,""))</f>
        <v>44403</v>
      </c>
      <c r="D60" s="61" t="s">
        <v>29</v>
      </c>
      <c r="E60" s="55">
        <f>IF(DAY(JulSun1)=1,IF(AND(YEAR(JulSun1+23)=CalendarYear,MONTH(JulSun1+23)=7),JulSun1+23,""),IF(AND(YEAR(JulSun1+30)=CalendarYear,MONTH(JulSun1+30)=7),JulSun1+30,""))</f>
        <v>44404</v>
      </c>
      <c r="F60" s="61" t="s">
        <v>29</v>
      </c>
      <c r="G60" s="56">
        <f>IF(DAY(JulSun1)=1,IF(AND(YEAR(JulSun1+24)=CalendarYear,MONTH(JulSun1+24)=7),JulSun1+24,""),IF(AND(YEAR(JulSun1+31)=CalendarYear,MONTH(JulSun1+31)=7),JulSun1+31,""))</f>
        <v>44405</v>
      </c>
      <c r="H60" s="61" t="s">
        <v>29</v>
      </c>
      <c r="I60" s="56">
        <f>IF(DAY(JulSun1)=1,IF(AND(YEAR(JulSun1+25)=CalendarYear,MONTH(JulSun1+25)=7),JulSun1+25,""),IF(AND(YEAR(JulSun1+32)=CalendarYear,MONTH(JulSun1+32)=7),JulSun1+32,""))</f>
        <v>44406</v>
      </c>
      <c r="J60" s="61" t="s">
        <v>29</v>
      </c>
      <c r="K60" s="56">
        <f>IF(DAY(JulSun1)=1,IF(AND(YEAR(JulSun1+26)=CalendarYear,MONTH(JulSun1+26)=7),JulSun1+26,""),IF(AND(YEAR(JulSun1+33)=CalendarYear,MONTH(JulSun1+33)=7),JulSun1+33,""))</f>
        <v>44407</v>
      </c>
      <c r="L60" s="61" t="s">
        <v>29</v>
      </c>
      <c r="M60" s="56">
        <f>IF(DAY(JulSun1)=1,IF(AND(YEAR(JulSun1+27)=CalendarYear,MONTH(JulSun1+27)=7),JulSun1+27,""),IF(AND(YEAR(JulSun1+34)=CalendarYear,MONTH(JulSun1+34)=7),JulSun1+34,""))</f>
        <v>44408</v>
      </c>
      <c r="N60" s="61" t="s">
        <v>29</v>
      </c>
      <c r="O60" s="56" t="str">
        <f>IF(DAY(JulSun1)=1,IF(AND(YEAR(JulSun1+28)=CalendarYear,MONTH(JulSun1+28)=7),JulSun1+28,""),IF(AND(YEAR(JulSun1+35)=CalendarYear,MONTH(JulSun1+35)=7),JulSun1+35,""))</f>
        <v/>
      </c>
      <c r="P60" s="61" t="s">
        <v>29</v>
      </c>
      <c r="Q60" s="47"/>
      <c r="T60" s="53"/>
      <c r="U60" s="54"/>
    </row>
    <row r="61" spans="2:21" s="23" customFormat="1" ht="17.5" customHeight="1" x14ac:dyDescent="0.45">
      <c r="B61" s="50" t="s">
        <v>1</v>
      </c>
      <c r="C61" s="25"/>
      <c r="D61" s="26"/>
      <c r="E61" s="25"/>
      <c r="F61" s="26"/>
      <c r="G61" s="27"/>
      <c r="H61" s="26"/>
      <c r="I61" s="27"/>
      <c r="J61" s="26"/>
      <c r="K61" s="27"/>
      <c r="L61" s="26"/>
      <c r="M61" s="27"/>
      <c r="N61" s="26"/>
      <c r="O61" s="27"/>
      <c r="P61" s="26"/>
      <c r="Q61" s="22"/>
    </row>
    <row r="62" spans="2:21" s="23" customFormat="1" ht="17.5" customHeight="1" x14ac:dyDescent="0.45">
      <c r="B62" s="50" t="s">
        <v>2</v>
      </c>
      <c r="C62" s="28"/>
      <c r="D62" s="29"/>
      <c r="E62" s="28"/>
      <c r="F62" s="29"/>
      <c r="G62" s="30"/>
      <c r="H62" s="29"/>
      <c r="I62" s="30"/>
      <c r="J62" s="29"/>
      <c r="K62" s="30"/>
      <c r="L62" s="29"/>
      <c r="M62" s="30"/>
      <c r="N62" s="29"/>
      <c r="O62" s="30"/>
      <c r="P62" s="29"/>
      <c r="Q62" s="22"/>
    </row>
    <row r="63" spans="2:21" s="23" customFormat="1" ht="17.5" customHeight="1" x14ac:dyDescent="0.45">
      <c r="B63" s="50" t="s">
        <v>3</v>
      </c>
      <c r="C63" s="28"/>
      <c r="D63" s="29"/>
      <c r="E63" s="28"/>
      <c r="F63" s="29"/>
      <c r="G63" s="30"/>
      <c r="H63" s="29"/>
      <c r="I63" s="30"/>
      <c r="J63" s="29"/>
      <c r="K63" s="30"/>
      <c r="L63" s="29"/>
      <c r="M63" s="30"/>
      <c r="N63" s="29"/>
      <c r="O63" s="30"/>
      <c r="P63" s="29"/>
      <c r="Q63" s="22"/>
    </row>
    <row r="64" spans="2:21" s="23" customFormat="1" ht="17.5" customHeight="1" x14ac:dyDescent="0.45">
      <c r="B64" s="50" t="s">
        <v>4</v>
      </c>
      <c r="C64" s="28"/>
      <c r="D64" s="29"/>
      <c r="E64" s="28"/>
      <c r="F64" s="29"/>
      <c r="G64" s="30"/>
      <c r="H64" s="29"/>
      <c r="I64" s="30"/>
      <c r="J64" s="29"/>
      <c r="K64" s="30"/>
      <c r="L64" s="29"/>
      <c r="M64" s="30"/>
      <c r="N64" s="29"/>
      <c r="O64" s="30"/>
      <c r="P64" s="29"/>
      <c r="Q64" s="22"/>
    </row>
    <row r="65" spans="1:21" s="23" customFormat="1" ht="17.5" customHeight="1" x14ac:dyDescent="0.45">
      <c r="B65" s="50" t="s">
        <v>2</v>
      </c>
      <c r="C65" s="28"/>
      <c r="D65" s="29"/>
      <c r="E65" s="28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22"/>
    </row>
    <row r="66" spans="1:21" s="23" customFormat="1" ht="17.5" customHeight="1" x14ac:dyDescent="0.45">
      <c r="B66" s="50"/>
      <c r="C66" s="28"/>
      <c r="D66" s="29"/>
      <c r="E66" s="28"/>
      <c r="F66" s="29"/>
      <c r="G66" s="30"/>
      <c r="H66" s="29"/>
      <c r="I66" s="30"/>
      <c r="J66" s="29"/>
      <c r="K66" s="30"/>
      <c r="L66" s="29"/>
      <c r="M66" s="30"/>
      <c r="N66" s="29"/>
      <c r="O66" s="30"/>
      <c r="P66" s="29"/>
      <c r="Q66" s="22"/>
    </row>
    <row r="67" spans="1:21" s="23" customFormat="1" ht="17.5" customHeight="1" x14ac:dyDescent="0.45">
      <c r="B67" s="50" t="s">
        <v>6</v>
      </c>
      <c r="C67" s="28"/>
      <c r="D67" s="29"/>
      <c r="E67" s="28"/>
      <c r="F67" s="29"/>
      <c r="G67" s="30"/>
      <c r="H67" s="29"/>
      <c r="I67" s="30"/>
      <c r="J67" s="29"/>
      <c r="K67" s="30"/>
      <c r="L67" s="29"/>
      <c r="M67" s="30"/>
      <c r="N67" s="29"/>
      <c r="O67" s="30"/>
      <c r="P67" s="29"/>
      <c r="Q67" s="22"/>
    </row>
    <row r="68" spans="1:21" s="23" customFormat="1" ht="17.5" customHeight="1" x14ac:dyDescent="0.35">
      <c r="B68" s="48"/>
      <c r="C68" s="28"/>
      <c r="D68" s="29"/>
      <c r="E68" s="28"/>
      <c r="F68" s="29"/>
      <c r="G68" s="30"/>
      <c r="H68" s="29"/>
      <c r="I68" s="30"/>
      <c r="J68" s="29"/>
      <c r="K68" s="30"/>
      <c r="L68" s="29"/>
      <c r="M68" s="30"/>
      <c r="N68" s="29"/>
      <c r="O68" s="30"/>
      <c r="P68" s="29"/>
      <c r="Q68" s="22"/>
    </row>
    <row r="69" spans="1:21" s="23" customFormat="1" ht="17.5" customHeight="1" x14ac:dyDescent="0.35">
      <c r="B69" s="48"/>
      <c r="C69" s="28"/>
      <c r="D69" s="29"/>
      <c r="E69" s="28"/>
      <c r="F69" s="29"/>
      <c r="G69" s="30"/>
      <c r="H69" s="29"/>
      <c r="I69" s="30"/>
      <c r="J69" s="29"/>
      <c r="K69" s="30"/>
      <c r="L69" s="29"/>
      <c r="M69" s="30"/>
      <c r="N69" s="29"/>
      <c r="O69" s="30"/>
      <c r="P69" s="29"/>
      <c r="Q69" s="22"/>
    </row>
    <row r="70" spans="1:21" s="23" customFormat="1" ht="17.5" customHeight="1" x14ac:dyDescent="0.35">
      <c r="B70" s="48"/>
      <c r="C70" s="28"/>
      <c r="D70" s="29"/>
      <c r="E70" s="28"/>
      <c r="F70" s="29"/>
      <c r="G70" s="30"/>
      <c r="H70" s="29"/>
      <c r="I70" s="30"/>
      <c r="J70" s="29"/>
      <c r="K70" s="30"/>
      <c r="L70" s="29"/>
      <c r="M70" s="30"/>
      <c r="N70" s="29"/>
      <c r="O70" s="30"/>
      <c r="P70" s="29"/>
      <c r="Q70" s="22"/>
    </row>
    <row r="71" spans="1:21" s="23" customFormat="1" ht="17.5" customHeight="1" x14ac:dyDescent="0.35">
      <c r="B71" s="48"/>
      <c r="C71" s="28"/>
      <c r="D71" s="29"/>
      <c r="E71" s="28"/>
      <c r="F71" s="29"/>
      <c r="G71" s="30"/>
      <c r="H71" s="29"/>
      <c r="I71" s="30"/>
      <c r="J71" s="29"/>
      <c r="K71" s="30"/>
      <c r="L71" s="29"/>
      <c r="M71" s="30"/>
      <c r="N71" s="29"/>
      <c r="O71" s="30"/>
      <c r="P71" s="29"/>
      <c r="Q71" s="22"/>
    </row>
    <row r="72" spans="1:21" s="23" customFormat="1" ht="17.5" customHeight="1" x14ac:dyDescent="0.35">
      <c r="B72" s="49"/>
      <c r="C72" s="31" t="s">
        <v>5</v>
      </c>
      <c r="D72" s="32"/>
      <c r="E72" s="31" t="s">
        <v>5</v>
      </c>
      <c r="F72" s="32"/>
      <c r="G72" s="33" t="s">
        <v>5</v>
      </c>
      <c r="H72" s="32"/>
      <c r="I72" s="33" t="s">
        <v>5</v>
      </c>
      <c r="J72" s="32"/>
      <c r="K72" s="33" t="s">
        <v>5</v>
      </c>
      <c r="L72" s="32"/>
      <c r="M72" s="33" t="s">
        <v>5</v>
      </c>
      <c r="N72" s="32"/>
      <c r="O72" s="33" t="s">
        <v>5</v>
      </c>
      <c r="P72" s="32"/>
      <c r="Q72" s="22"/>
    </row>
    <row r="73" spans="1:21" s="21" customFormat="1" ht="18" customHeight="1" x14ac:dyDescent="0.3">
      <c r="A73" s="51"/>
      <c r="B73" s="52"/>
      <c r="C73" s="55" t="str">
        <f>IF(DAY(JulSun1)=1,IF(AND(YEAR(JulSun1+29)=CalendarYear,MONTH(JulSun1+29)=7),JulSun1+29,""),IF(AND(YEAR(JulSun1+36)=CalendarYear,MONTH(JulSun1+36)=7),JulSun1+36,""))</f>
        <v/>
      </c>
      <c r="D73" s="61" t="s">
        <v>29</v>
      </c>
      <c r="E73" s="55" t="str">
        <f>IF(DAY(JulSun1)=1,IF(AND(YEAR(JulSun1+30)=CalendarYear,MONTH(JulSun1+30)=7),JulSun1+30,""),IF(AND(YEAR(JulSun1+37)=CalendarYear,MONTH(JulSun1+37)=7),JulSun1+37,""))</f>
        <v/>
      </c>
      <c r="F73" s="61" t="s">
        <v>29</v>
      </c>
      <c r="G73" s="56" t="s">
        <v>14</v>
      </c>
      <c r="H73" s="57"/>
      <c r="I73" s="58"/>
      <c r="J73" s="57"/>
      <c r="K73" s="58"/>
      <c r="L73" s="57"/>
      <c r="M73" s="58"/>
      <c r="N73" s="57"/>
      <c r="O73" s="58"/>
      <c r="P73" s="57"/>
      <c r="Q73" s="22"/>
      <c r="T73" s="23"/>
      <c r="U73" s="24"/>
    </row>
    <row r="74" spans="1:21" s="23" customFormat="1" ht="17.5" customHeight="1" x14ac:dyDescent="0.45">
      <c r="B74" s="50" t="s">
        <v>1</v>
      </c>
      <c r="C74" s="34"/>
      <c r="D74" s="35"/>
      <c r="E74" s="34"/>
      <c r="F74" s="35"/>
      <c r="G74" s="163"/>
      <c r="H74" s="164"/>
      <c r="I74" s="164"/>
      <c r="J74" s="164"/>
      <c r="K74" s="164"/>
      <c r="L74" s="164"/>
      <c r="M74" s="164"/>
      <c r="N74" s="164"/>
      <c r="O74" s="164"/>
      <c r="P74" s="165"/>
      <c r="Q74" s="22"/>
    </row>
    <row r="75" spans="1:21" s="23" customFormat="1" ht="17.5" customHeight="1" x14ac:dyDescent="0.45">
      <c r="B75" s="50" t="s">
        <v>2</v>
      </c>
      <c r="C75" s="37"/>
      <c r="D75" s="38"/>
      <c r="E75" s="37"/>
      <c r="F75" s="38"/>
      <c r="G75" s="166"/>
      <c r="H75" s="167"/>
      <c r="I75" s="167"/>
      <c r="J75" s="167"/>
      <c r="K75" s="167"/>
      <c r="L75" s="167"/>
      <c r="M75" s="167"/>
      <c r="N75" s="167"/>
      <c r="O75" s="167"/>
      <c r="P75" s="168"/>
      <c r="Q75" s="22"/>
    </row>
    <row r="76" spans="1:21" s="23" customFormat="1" ht="17.5" customHeight="1" x14ac:dyDescent="0.45">
      <c r="B76" s="50" t="s">
        <v>3</v>
      </c>
      <c r="C76" s="37"/>
      <c r="D76" s="38"/>
      <c r="E76" s="37"/>
      <c r="F76" s="38"/>
      <c r="G76" s="166"/>
      <c r="H76" s="167"/>
      <c r="I76" s="167"/>
      <c r="J76" s="167"/>
      <c r="K76" s="167"/>
      <c r="L76" s="167"/>
      <c r="M76" s="167"/>
      <c r="N76" s="167"/>
      <c r="O76" s="167"/>
      <c r="P76" s="168"/>
      <c r="Q76" s="22"/>
    </row>
    <row r="77" spans="1:21" s="23" customFormat="1" ht="17.5" customHeight="1" x14ac:dyDescent="0.45">
      <c r="B77" s="50" t="s">
        <v>4</v>
      </c>
      <c r="C77" s="37"/>
      <c r="D77" s="38"/>
      <c r="E77" s="37"/>
      <c r="F77" s="38"/>
      <c r="G77" s="166"/>
      <c r="H77" s="167"/>
      <c r="I77" s="167"/>
      <c r="J77" s="167"/>
      <c r="K77" s="167"/>
      <c r="L77" s="167"/>
      <c r="M77" s="167"/>
      <c r="N77" s="167"/>
      <c r="O77" s="167"/>
      <c r="P77" s="168"/>
      <c r="Q77" s="22"/>
    </row>
    <row r="78" spans="1:21" s="23" customFormat="1" ht="17.5" customHeight="1" x14ac:dyDescent="0.45">
      <c r="B78" s="50" t="s">
        <v>2</v>
      </c>
      <c r="C78" s="37"/>
      <c r="D78" s="38"/>
      <c r="E78" s="37"/>
      <c r="F78" s="38"/>
      <c r="G78" s="166"/>
      <c r="H78" s="167"/>
      <c r="I78" s="167"/>
      <c r="J78" s="167"/>
      <c r="K78" s="167"/>
      <c r="L78" s="167"/>
      <c r="M78" s="167"/>
      <c r="N78" s="167"/>
      <c r="O78" s="167"/>
      <c r="P78" s="168"/>
      <c r="Q78" s="22"/>
    </row>
    <row r="79" spans="1:21" s="23" customFormat="1" ht="17.5" customHeight="1" x14ac:dyDescent="0.45">
      <c r="B79" s="50"/>
      <c r="C79" s="37"/>
      <c r="D79" s="38"/>
      <c r="E79" s="37"/>
      <c r="F79" s="38"/>
      <c r="G79" s="166"/>
      <c r="H79" s="167"/>
      <c r="I79" s="167"/>
      <c r="J79" s="167"/>
      <c r="K79" s="167"/>
      <c r="L79" s="167"/>
      <c r="M79" s="167"/>
      <c r="N79" s="167"/>
      <c r="O79" s="167"/>
      <c r="P79" s="168"/>
      <c r="Q79" s="22"/>
    </row>
    <row r="80" spans="1:21" s="23" customFormat="1" ht="17.5" customHeight="1" x14ac:dyDescent="0.45">
      <c r="B80" s="50" t="s">
        <v>6</v>
      </c>
      <c r="C80" s="37"/>
      <c r="D80" s="38"/>
      <c r="E80" s="37"/>
      <c r="F80" s="38"/>
      <c r="G80" s="166"/>
      <c r="H80" s="167"/>
      <c r="I80" s="167"/>
      <c r="J80" s="167"/>
      <c r="K80" s="167"/>
      <c r="L80" s="167"/>
      <c r="M80" s="167"/>
      <c r="N80" s="167"/>
      <c r="O80" s="167"/>
      <c r="P80" s="168"/>
      <c r="Q80" s="22"/>
    </row>
    <row r="81" spans="1:17" s="23" customFormat="1" ht="17.5" customHeight="1" x14ac:dyDescent="0.35">
      <c r="B81" s="48"/>
      <c r="C81" s="37"/>
      <c r="D81" s="38"/>
      <c r="E81" s="37"/>
      <c r="F81" s="38"/>
      <c r="G81" s="166"/>
      <c r="H81" s="167"/>
      <c r="I81" s="167"/>
      <c r="J81" s="167"/>
      <c r="K81" s="167"/>
      <c r="L81" s="167"/>
      <c r="M81" s="167"/>
      <c r="N81" s="167"/>
      <c r="O81" s="167"/>
      <c r="P81" s="168"/>
      <c r="Q81" s="22"/>
    </row>
    <row r="82" spans="1:17" s="23" customFormat="1" ht="17.5" customHeight="1" x14ac:dyDescent="0.35">
      <c r="B82" s="48"/>
      <c r="C82" s="37"/>
      <c r="D82" s="38"/>
      <c r="E82" s="37"/>
      <c r="F82" s="38"/>
      <c r="G82" s="166"/>
      <c r="H82" s="167"/>
      <c r="I82" s="167"/>
      <c r="J82" s="167"/>
      <c r="K82" s="167"/>
      <c r="L82" s="167"/>
      <c r="M82" s="167"/>
      <c r="N82" s="167"/>
      <c r="O82" s="167"/>
      <c r="P82" s="168"/>
      <c r="Q82" s="22"/>
    </row>
    <row r="83" spans="1:17" s="23" customFormat="1" ht="17.5" customHeight="1" x14ac:dyDescent="0.35">
      <c r="B83" s="48"/>
      <c r="C83" s="37"/>
      <c r="D83" s="38"/>
      <c r="E83" s="37"/>
      <c r="F83" s="38"/>
      <c r="G83" s="166"/>
      <c r="H83" s="167"/>
      <c r="I83" s="167"/>
      <c r="J83" s="167"/>
      <c r="K83" s="167"/>
      <c r="L83" s="167"/>
      <c r="M83" s="167"/>
      <c r="N83" s="167"/>
      <c r="O83" s="167"/>
      <c r="P83" s="168"/>
      <c r="Q83" s="22"/>
    </row>
    <row r="84" spans="1:17" s="23" customFormat="1" ht="17.5" customHeight="1" x14ac:dyDescent="0.35">
      <c r="B84" s="48"/>
      <c r="C84" s="37"/>
      <c r="D84" s="38"/>
      <c r="E84" s="37"/>
      <c r="F84" s="38"/>
      <c r="G84" s="166"/>
      <c r="H84" s="167"/>
      <c r="I84" s="167"/>
      <c r="J84" s="167"/>
      <c r="K84" s="167"/>
      <c r="L84" s="167"/>
      <c r="M84" s="167"/>
      <c r="N84" s="167"/>
      <c r="O84" s="167"/>
      <c r="P84" s="168"/>
      <c r="Q84" s="22"/>
    </row>
    <row r="85" spans="1:17" s="23" customFormat="1" ht="17.5" customHeight="1" x14ac:dyDescent="0.35">
      <c r="B85" s="49"/>
      <c r="C85" s="40" t="s">
        <v>5</v>
      </c>
      <c r="D85" s="41"/>
      <c r="E85" s="40" t="s">
        <v>5</v>
      </c>
      <c r="F85" s="41"/>
      <c r="G85" s="169"/>
      <c r="H85" s="170"/>
      <c r="I85" s="170"/>
      <c r="J85" s="170"/>
      <c r="K85" s="170"/>
      <c r="L85" s="170"/>
      <c r="M85" s="170"/>
      <c r="N85" s="170"/>
      <c r="O85" s="170"/>
      <c r="P85" s="171"/>
      <c r="Q85" s="22"/>
    </row>
    <row r="86" spans="1:17" ht="22.75" customHeight="1" x14ac:dyDescent="0.3">
      <c r="B86" s="159" t="s">
        <v>27</v>
      </c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</row>
    <row r="87" spans="1:17" ht="22.75" customHeight="1" x14ac:dyDescent="0.3">
      <c r="A87" s="2"/>
      <c r="B87" s="158" t="s">
        <v>28</v>
      </c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</row>
    <row r="88" spans="1:17" x14ac:dyDescent="0.3">
      <c r="A88" s="2"/>
    </row>
    <row r="89" spans="1:17" x14ac:dyDescent="0.3">
      <c r="A89" s="2"/>
    </row>
    <row r="90" spans="1:17" ht="21" customHeight="1" x14ac:dyDescent="0.3">
      <c r="A90" s="2"/>
      <c r="E90" s="5"/>
      <c r="F90" s="17"/>
      <c r="G90" s="4"/>
      <c r="H90" s="18"/>
      <c r="I90" s="3"/>
      <c r="J90" s="19"/>
    </row>
    <row r="91" spans="1:17" ht="19.5" customHeight="1" x14ac:dyDescent="0.3">
      <c r="A91" s="2"/>
    </row>
    <row r="92" spans="1:17" ht="15" x14ac:dyDescent="0.3">
      <c r="A92"/>
    </row>
    <row r="93" spans="1:17" x14ac:dyDescent="0.3">
      <c r="A93" s="2"/>
    </row>
    <row r="94" spans="1:17" x14ac:dyDescent="0.3">
      <c r="A94" s="2"/>
    </row>
    <row r="95" spans="1:17" x14ac:dyDescent="0.3">
      <c r="A95" s="2"/>
    </row>
    <row r="96" spans="1:17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ht="15" x14ac:dyDescent="0.3">
      <c r="A105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ht="15" x14ac:dyDescent="0.3">
      <c r="A118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ht="15" x14ac:dyDescent="0.3">
      <c r="A131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4" spans="1:1" ht="15" x14ac:dyDescent="0.3">
      <c r="A144"/>
    </row>
    <row r="145" spans="1:1" x14ac:dyDescent="0.3">
      <c r="A145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x14ac:dyDescent="0.3">
      <c r="A150" s="2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ht="15" x14ac:dyDescent="0.3">
      <c r="A163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x14ac:dyDescent="0.3">
      <c r="A174" s="2"/>
    </row>
    <row r="175" spans="1:1" x14ac:dyDescent="0.3">
      <c r="A175" s="2"/>
    </row>
    <row r="176" spans="1:1" ht="15" x14ac:dyDescent="0.3">
      <c r="A176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ht="15" x14ac:dyDescent="0.3">
      <c r="A189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ht="15" x14ac:dyDescent="0.3">
      <c r="A20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x14ac:dyDescent="0.3">
      <c r="A213" s="2"/>
    </row>
    <row r="214" spans="1:1" x14ac:dyDescent="0.3">
      <c r="A214" s="2"/>
    </row>
    <row r="215" spans="1:1" ht="15" x14ac:dyDescent="0.3">
      <c r="A215"/>
    </row>
    <row r="216" spans="1:1" x14ac:dyDescent="0.3">
      <c r="A216" s="2"/>
    </row>
    <row r="217" spans="1:1" x14ac:dyDescent="0.3">
      <c r="A217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x14ac:dyDescent="0.3">
      <c r="A225" s="2"/>
    </row>
    <row r="226" spans="1:1" x14ac:dyDescent="0.3">
      <c r="A226" s="2"/>
    </row>
    <row r="227" spans="1:1" x14ac:dyDescent="0.3">
      <c r="A227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ht="15" x14ac:dyDescent="0.3">
      <c r="A238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ht="15" x14ac:dyDescent="0.3">
      <c r="A251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ht="15" x14ac:dyDescent="0.3">
      <c r="A264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  <row r="269" spans="1:1" x14ac:dyDescent="0.3">
      <c r="A269" s="2"/>
    </row>
    <row r="270" spans="1:1" x14ac:dyDescent="0.3">
      <c r="A270" s="2"/>
    </row>
    <row r="271" spans="1:1" x14ac:dyDescent="0.3">
      <c r="A271" s="2"/>
    </row>
    <row r="272" spans="1:1" x14ac:dyDescent="0.3">
      <c r="A272" s="2"/>
    </row>
    <row r="273" spans="1:1" x14ac:dyDescent="0.3">
      <c r="A273" s="2"/>
    </row>
    <row r="274" spans="1:1" x14ac:dyDescent="0.3">
      <c r="A274" s="2"/>
    </row>
    <row r="275" spans="1:1" x14ac:dyDescent="0.3">
      <c r="A275" s="2"/>
    </row>
    <row r="276" spans="1:1" x14ac:dyDescent="0.3">
      <c r="A276" s="2"/>
    </row>
    <row r="277" spans="1:1" ht="15" x14ac:dyDescent="0.3">
      <c r="A277"/>
    </row>
    <row r="278" spans="1:1" x14ac:dyDescent="0.3">
      <c r="A278" s="2"/>
    </row>
    <row r="279" spans="1:1" x14ac:dyDescent="0.3">
      <c r="A279" s="2"/>
    </row>
    <row r="280" spans="1:1" x14ac:dyDescent="0.3">
      <c r="A280" s="2"/>
    </row>
    <row r="281" spans="1:1" x14ac:dyDescent="0.3">
      <c r="A281" s="2"/>
    </row>
    <row r="282" spans="1:1" x14ac:dyDescent="0.3">
      <c r="A282" s="2"/>
    </row>
    <row r="283" spans="1:1" x14ac:dyDescent="0.3">
      <c r="A283" s="2"/>
    </row>
    <row r="284" spans="1:1" x14ac:dyDescent="0.3">
      <c r="A284" s="2"/>
    </row>
    <row r="285" spans="1:1" x14ac:dyDescent="0.3">
      <c r="A285" s="2"/>
    </row>
    <row r="286" spans="1:1" x14ac:dyDescent="0.3">
      <c r="A286" s="2"/>
    </row>
    <row r="287" spans="1:1" x14ac:dyDescent="0.3">
      <c r="A287" s="2"/>
    </row>
    <row r="288" spans="1:1" x14ac:dyDescent="0.3">
      <c r="A288" s="2"/>
    </row>
    <row r="289" spans="1:1" x14ac:dyDescent="0.3">
      <c r="A289" s="2"/>
    </row>
    <row r="290" spans="1:1" ht="15" x14ac:dyDescent="0.3">
      <c r="A290"/>
    </row>
    <row r="291" spans="1:1" x14ac:dyDescent="0.3">
      <c r="A291" s="2"/>
    </row>
    <row r="292" spans="1:1" x14ac:dyDescent="0.3">
      <c r="A292" s="2"/>
    </row>
    <row r="293" spans="1:1" x14ac:dyDescent="0.3">
      <c r="A293" s="2"/>
    </row>
    <row r="294" spans="1:1" x14ac:dyDescent="0.3">
      <c r="A294" s="2"/>
    </row>
    <row r="295" spans="1:1" x14ac:dyDescent="0.3">
      <c r="A295" s="2"/>
    </row>
    <row r="296" spans="1:1" x14ac:dyDescent="0.3">
      <c r="A296" s="2"/>
    </row>
    <row r="297" spans="1:1" x14ac:dyDescent="0.3">
      <c r="A297" s="2"/>
    </row>
    <row r="298" spans="1:1" x14ac:dyDescent="0.3">
      <c r="A298" s="2"/>
    </row>
    <row r="299" spans="1:1" x14ac:dyDescent="0.3">
      <c r="A299" s="2"/>
    </row>
    <row r="300" spans="1:1" x14ac:dyDescent="0.3">
      <c r="A300" s="2"/>
    </row>
    <row r="301" spans="1:1" x14ac:dyDescent="0.3">
      <c r="A301" s="2"/>
    </row>
    <row r="302" spans="1:1" x14ac:dyDescent="0.3">
      <c r="A302" s="2"/>
    </row>
  </sheetData>
  <mergeCells count="7">
    <mergeCell ref="BK4:BN5"/>
    <mergeCell ref="CB6:CC6"/>
    <mergeCell ref="B86:P86"/>
    <mergeCell ref="B87:P87"/>
    <mergeCell ref="G74:P85"/>
    <mergeCell ref="B4:C5"/>
    <mergeCell ref="G6:H6"/>
  </mergeCells>
  <printOptions horizontalCentered="1" verticalCentered="1"/>
  <pageMargins left="0.2" right="0.2" top="0.25" bottom="0.25" header="0" footer="0"/>
  <pageSetup scale="34" orientation="landscape" r:id="rId1"/>
  <headerFooter scaleWithDoc="0"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0" tint="-0.249977111117893"/>
    <pageSetUpPr fitToPage="1"/>
  </sheetPr>
  <dimension ref="A1:CJ302"/>
  <sheetViews>
    <sheetView showGridLines="0" zoomScale="50" zoomScaleNormal="50" workbookViewId="0">
      <selection activeCell="C9" sqref="C9"/>
    </sheetView>
  </sheetViews>
  <sheetFormatPr defaultColWidth="6.69140625" defaultRowHeight="14" x14ac:dyDescent="0.3"/>
  <cols>
    <col min="1" max="1" width="5.53515625" style="1" customWidth="1"/>
    <col min="2" max="2" width="18.07421875" style="1" bestFit="1" customWidth="1"/>
    <col min="3" max="3" width="24.23046875" style="1" customWidth="1"/>
    <col min="4" max="4" width="7.4609375" style="14" customWidth="1"/>
    <col min="5" max="5" width="24.23046875" style="1" customWidth="1"/>
    <col min="6" max="6" width="7.4609375" style="14" customWidth="1"/>
    <col min="7" max="7" width="24.23046875" style="1" customWidth="1"/>
    <col min="8" max="8" width="7.4609375" style="14" customWidth="1"/>
    <col min="9" max="9" width="24.23046875" style="1" customWidth="1"/>
    <col min="10" max="10" width="7.4609375" style="14" customWidth="1"/>
    <col min="11" max="11" width="24.23046875" style="1" customWidth="1"/>
    <col min="12" max="12" width="7.4609375" style="14" customWidth="1"/>
    <col min="13" max="13" width="24.23046875" style="1" customWidth="1"/>
    <col min="14" max="14" width="7.4609375" style="14" customWidth="1"/>
    <col min="15" max="15" width="24.23046875" style="1" customWidth="1"/>
    <col min="16" max="16" width="7.4609375" style="14" customWidth="1"/>
    <col min="17" max="17" width="13.3046875" style="1" customWidth="1"/>
    <col min="18" max="18" width="31.3046875" style="1" customWidth="1"/>
    <col min="19" max="19" width="11.84375" style="1" customWidth="1"/>
    <col min="20" max="20" width="11.3046875" style="1" customWidth="1"/>
    <col min="21" max="16384" width="6.69140625" style="1"/>
  </cols>
  <sheetData>
    <row r="1" spans="1:88" ht="49.75" customHeight="1" x14ac:dyDescent="0.3">
      <c r="R1" s="46"/>
      <c r="S1" s="46"/>
    </row>
    <row r="2" spans="1:88" ht="13.75" customHeight="1" x14ac:dyDescent="0.3">
      <c r="R2" s="46"/>
      <c r="S2" s="46"/>
    </row>
    <row r="3" spans="1:88" ht="19.399999999999999" customHeight="1" x14ac:dyDescent="0.3">
      <c r="B3" s="9"/>
      <c r="R3" s="46"/>
      <c r="S3" s="46"/>
      <c r="BB3" s="9"/>
      <c r="BC3" s="9"/>
      <c r="BD3" s="9"/>
    </row>
    <row r="4" spans="1:88" ht="43.75" customHeight="1" x14ac:dyDescent="0.65">
      <c r="B4" s="172"/>
      <c r="C4" s="172"/>
      <c r="R4" s="46"/>
      <c r="S4" s="46"/>
      <c r="BB4" s="9"/>
      <c r="BC4" s="9"/>
      <c r="BD4" s="9"/>
      <c r="BK4" s="160"/>
      <c r="BL4" s="160"/>
      <c r="BM4" s="160"/>
      <c r="BN4" s="160"/>
      <c r="CG4" s="11"/>
      <c r="CH4" s="13"/>
      <c r="CI4" s="11"/>
    </row>
    <row r="5" spans="1:88" ht="30" customHeight="1" x14ac:dyDescent="0.65">
      <c r="B5" s="172"/>
      <c r="C5" s="172"/>
      <c r="D5" s="15"/>
      <c r="F5" s="15"/>
      <c r="H5" s="15"/>
      <c r="I5" s="9"/>
      <c r="J5" s="15"/>
      <c r="K5" s="9"/>
      <c r="L5" s="15"/>
      <c r="M5" s="9"/>
      <c r="N5" s="15"/>
      <c r="O5" s="9"/>
      <c r="P5" s="15"/>
      <c r="R5" s="44"/>
      <c r="S5" s="44"/>
      <c r="BB5" s="9"/>
      <c r="BC5" s="9"/>
      <c r="BD5" s="9"/>
      <c r="BH5" s="9"/>
      <c r="BI5" s="9"/>
      <c r="BJ5" s="9"/>
      <c r="BK5" s="160"/>
      <c r="BL5" s="160"/>
      <c r="BM5" s="160"/>
      <c r="BN5" s="160"/>
      <c r="BO5" s="9"/>
      <c r="BP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12"/>
      <c r="CH5" s="12"/>
      <c r="CI5" s="12"/>
      <c r="CJ5" s="9"/>
    </row>
    <row r="6" spans="1:88" ht="48.65" customHeight="1" x14ac:dyDescent="0.65">
      <c r="F6" s="16"/>
      <c r="G6" s="173" t="s">
        <v>21</v>
      </c>
      <c r="H6" s="173"/>
      <c r="I6" s="59" t="str">
        <f>UPPER(TEXT(DATE(CalendarYear,1,1)," yyyy"))</f>
        <v xml:space="preserve"> 2021</v>
      </c>
      <c r="J6" s="16"/>
      <c r="K6" s="7"/>
      <c r="L6" s="16"/>
      <c r="N6" s="16"/>
      <c r="R6" s="43"/>
      <c r="S6" s="43"/>
      <c r="BO6" s="7"/>
      <c r="BP6" s="8"/>
      <c r="BR6" s="7"/>
      <c r="BS6" s="8"/>
      <c r="BT6" s="7"/>
      <c r="BU6" s="7"/>
      <c r="BV6" s="8"/>
      <c r="BW6" s="7"/>
      <c r="BX6" s="7"/>
      <c r="BY6" s="8"/>
      <c r="CA6" s="7"/>
      <c r="CB6" s="161"/>
      <c r="CC6" s="161"/>
      <c r="CD6" s="10"/>
      <c r="CE6" s="8"/>
      <c r="CG6" s="11"/>
      <c r="CH6" s="11"/>
      <c r="CI6" s="11"/>
    </row>
    <row r="7" spans="1:88" customFormat="1" ht="26.25" customHeight="1" x14ac:dyDescent="0.3">
      <c r="A7" s="1"/>
      <c r="B7" s="20"/>
      <c r="C7" s="60" t="s">
        <v>7</v>
      </c>
      <c r="D7" s="60"/>
      <c r="E7" s="60" t="s">
        <v>8</v>
      </c>
      <c r="F7" s="60"/>
      <c r="G7" s="60" t="s">
        <v>9</v>
      </c>
      <c r="H7" s="60"/>
      <c r="I7" s="60" t="s">
        <v>10</v>
      </c>
      <c r="J7" s="60"/>
      <c r="K7" s="60" t="s">
        <v>11</v>
      </c>
      <c r="L7" s="60"/>
      <c r="M7" s="60" t="s">
        <v>12</v>
      </c>
      <c r="N7" s="60"/>
      <c r="O7" s="60" t="s">
        <v>13</v>
      </c>
      <c r="P7" s="45"/>
      <c r="Q7" s="1"/>
      <c r="S7" s="1"/>
      <c r="T7" s="6"/>
      <c r="X7" s="1"/>
      <c r="Y7" s="1"/>
    </row>
    <row r="8" spans="1:88" s="51" customFormat="1" ht="18" customHeight="1" x14ac:dyDescent="0.3">
      <c r="B8" s="52"/>
      <c r="C8" s="55" t="str">
        <f>IF(DAY(AugSun1)=1,"",IF(AND(YEAR(AugSun1+1)=CalendarYear,MONTH(AugSun1+1)=8),AugSun1+1,""))</f>
        <v/>
      </c>
      <c r="D8" s="61" t="s">
        <v>29</v>
      </c>
      <c r="E8" s="55" t="str">
        <f>IF(DAY(AugSun1)=1,"",IF(AND(YEAR(AugSun1+2)=CalendarYear,MONTH(AugSun1+2)=8),AugSun1+2,""))</f>
        <v/>
      </c>
      <c r="F8" s="61" t="s">
        <v>29</v>
      </c>
      <c r="G8" s="56" t="str">
        <f>IF(DAY(AugSun1)=1,"",IF(AND(YEAR(AugSun1+3)=CalendarYear,MONTH(AugSun1+3)=8),AugSun1+3,""))</f>
        <v/>
      </c>
      <c r="H8" s="61" t="s">
        <v>29</v>
      </c>
      <c r="I8" s="56" t="str">
        <f>IF(DAY(AugSun1)=1,"",IF(AND(YEAR(AugSun1+4)=CalendarYear,MONTH(AugSun1+4)=8),AugSun1+4,""))</f>
        <v/>
      </c>
      <c r="J8" s="61" t="s">
        <v>29</v>
      </c>
      <c r="K8" s="56" t="str">
        <f>IF(DAY(AugSun1)=1,"",IF(AND(YEAR(AugSun1+5)=CalendarYear,MONTH(AugSun1+5)=8),AugSun1+5,""))</f>
        <v/>
      </c>
      <c r="L8" s="61" t="s">
        <v>29</v>
      </c>
      <c r="M8" s="56" t="str">
        <f>IF(DAY(AugSun1)=1,"",IF(AND(YEAR(AugSun1+6)=CalendarYear,MONTH(AugSun1+6)=8),AugSun1+6,""))</f>
        <v/>
      </c>
      <c r="N8" s="61" t="s">
        <v>29</v>
      </c>
      <c r="O8" s="56">
        <f>IF(DAY(AugSun1)=1,IF(AND(YEAR(AugSun1)=CalendarYear,MONTH(AugSun1)=8),AugSun1,""),IF(AND(YEAR(AugSun1+7)=CalendarYear,MONTH(AugSun1+7)=8),AugSun1+7,""))</f>
        <v>44409</v>
      </c>
      <c r="P8" s="61" t="s">
        <v>29</v>
      </c>
      <c r="Q8" s="47"/>
      <c r="T8" s="53"/>
      <c r="U8" s="54"/>
    </row>
    <row r="9" spans="1:88" s="23" customFormat="1" ht="17.5" customHeight="1" x14ac:dyDescent="0.45">
      <c r="B9" s="50" t="s">
        <v>1</v>
      </c>
      <c r="C9" s="25"/>
      <c r="D9" s="26"/>
      <c r="E9" s="25"/>
      <c r="F9" s="26"/>
      <c r="G9" s="27"/>
      <c r="H9" s="26"/>
      <c r="I9" s="27"/>
      <c r="J9" s="26"/>
      <c r="K9" s="27"/>
      <c r="L9" s="26"/>
      <c r="M9" s="27"/>
      <c r="N9" s="26"/>
      <c r="O9" s="27"/>
      <c r="P9" s="26"/>
      <c r="Q9" s="22"/>
    </row>
    <row r="10" spans="1:88" s="23" customFormat="1" ht="17.5" customHeight="1" x14ac:dyDescent="0.45">
      <c r="B10" s="50" t="s">
        <v>2</v>
      </c>
      <c r="C10" s="28"/>
      <c r="D10" s="29"/>
      <c r="E10" s="28"/>
      <c r="F10" s="29"/>
      <c r="G10" s="30"/>
      <c r="H10" s="29"/>
      <c r="I10" s="30"/>
      <c r="J10" s="29"/>
      <c r="K10" s="30"/>
      <c r="L10" s="29"/>
      <c r="M10" s="30"/>
      <c r="N10" s="29"/>
      <c r="O10" s="30"/>
      <c r="P10" s="29"/>
      <c r="Q10" s="22"/>
    </row>
    <row r="11" spans="1:88" s="23" customFormat="1" ht="17.5" customHeight="1" x14ac:dyDescent="0.45">
      <c r="B11" s="50" t="s">
        <v>3</v>
      </c>
      <c r="C11" s="28"/>
      <c r="D11" s="29"/>
      <c r="E11" s="28"/>
      <c r="F11" s="29"/>
      <c r="G11" s="30"/>
      <c r="H11" s="29"/>
      <c r="I11" s="30"/>
      <c r="J11" s="29"/>
      <c r="K11" s="30"/>
      <c r="L11" s="29"/>
      <c r="M11" s="30"/>
      <c r="N11" s="29"/>
      <c r="O11" s="30"/>
      <c r="P11" s="29"/>
      <c r="Q11" s="22"/>
    </row>
    <row r="12" spans="1:88" s="23" customFormat="1" ht="17.5" customHeight="1" x14ac:dyDescent="0.45">
      <c r="B12" s="50" t="s">
        <v>4</v>
      </c>
      <c r="C12" s="28"/>
      <c r="D12" s="29"/>
      <c r="E12" s="28"/>
      <c r="F12" s="29"/>
      <c r="G12" s="30"/>
      <c r="H12" s="29"/>
      <c r="I12" s="30"/>
      <c r="J12" s="29"/>
      <c r="K12" s="30"/>
      <c r="L12" s="29"/>
      <c r="M12" s="30"/>
      <c r="N12" s="29"/>
      <c r="O12" s="30"/>
      <c r="P12" s="29"/>
      <c r="Q12" s="22"/>
    </row>
    <row r="13" spans="1:88" s="23" customFormat="1" ht="17.5" customHeight="1" x14ac:dyDescent="0.45">
      <c r="B13" s="50" t="s">
        <v>2</v>
      </c>
      <c r="C13" s="28"/>
      <c r="D13" s="29"/>
      <c r="E13" s="28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22"/>
    </row>
    <row r="14" spans="1:88" s="23" customFormat="1" ht="17.5" customHeight="1" x14ac:dyDescent="0.45">
      <c r="B14" s="50"/>
      <c r="C14" s="28"/>
      <c r="D14" s="29"/>
      <c r="E14" s="28"/>
      <c r="F14" s="29"/>
      <c r="G14" s="30"/>
      <c r="H14" s="29"/>
      <c r="I14" s="30"/>
      <c r="J14" s="29"/>
      <c r="K14" s="30"/>
      <c r="L14" s="29"/>
      <c r="M14" s="30"/>
      <c r="N14" s="29"/>
      <c r="O14" s="30"/>
      <c r="P14" s="29"/>
      <c r="Q14" s="22"/>
    </row>
    <row r="15" spans="1:88" s="23" customFormat="1" ht="17.5" customHeight="1" x14ac:dyDescent="0.45">
      <c r="B15" s="50" t="s">
        <v>6</v>
      </c>
      <c r="C15" s="28"/>
      <c r="D15" s="29"/>
      <c r="E15" s="28"/>
      <c r="F15" s="29"/>
      <c r="G15" s="30"/>
      <c r="H15" s="29"/>
      <c r="I15" s="30"/>
      <c r="J15" s="29"/>
      <c r="K15" s="30"/>
      <c r="L15" s="29"/>
      <c r="M15" s="30"/>
      <c r="N15" s="29"/>
      <c r="O15" s="30"/>
      <c r="P15" s="29"/>
      <c r="Q15" s="22"/>
    </row>
    <row r="16" spans="1:88" s="23" customFormat="1" ht="17.5" customHeight="1" x14ac:dyDescent="0.45">
      <c r="B16" s="50"/>
      <c r="C16" s="28"/>
      <c r="D16" s="29"/>
      <c r="E16" s="28"/>
      <c r="F16" s="29"/>
      <c r="G16" s="30"/>
      <c r="H16" s="29"/>
      <c r="I16" s="30"/>
      <c r="J16" s="29"/>
      <c r="K16" s="30"/>
      <c r="L16" s="29"/>
      <c r="M16" s="30"/>
      <c r="N16" s="29"/>
      <c r="O16" s="30"/>
      <c r="P16" s="29"/>
      <c r="Q16" s="22"/>
    </row>
    <row r="17" spans="2:21" s="23" customFormat="1" ht="17.5" customHeight="1" x14ac:dyDescent="0.35">
      <c r="B17" s="48"/>
      <c r="C17" s="28"/>
      <c r="D17" s="29"/>
      <c r="E17" s="28"/>
      <c r="F17" s="29"/>
      <c r="G17" s="30"/>
      <c r="H17" s="29"/>
      <c r="I17" s="30"/>
      <c r="J17" s="29"/>
      <c r="K17" s="30"/>
      <c r="L17" s="29"/>
      <c r="M17" s="30"/>
      <c r="N17" s="29"/>
      <c r="O17" s="30"/>
      <c r="P17" s="29"/>
      <c r="Q17" s="22"/>
    </row>
    <row r="18" spans="2:21" s="23" customFormat="1" ht="17.5" customHeight="1" x14ac:dyDescent="0.35">
      <c r="B18" s="48"/>
      <c r="C18" s="28"/>
      <c r="D18" s="29"/>
      <c r="E18" s="28"/>
      <c r="F18" s="29"/>
      <c r="G18" s="30"/>
      <c r="H18" s="29"/>
      <c r="I18" s="30"/>
      <c r="J18" s="29"/>
      <c r="K18" s="30"/>
      <c r="L18" s="29"/>
      <c r="M18" s="30"/>
      <c r="N18" s="29"/>
      <c r="O18" s="30"/>
      <c r="P18" s="29"/>
      <c r="Q18" s="22"/>
    </row>
    <row r="19" spans="2:21" s="23" customFormat="1" ht="17.5" customHeight="1" x14ac:dyDescent="0.35">
      <c r="B19" s="48"/>
      <c r="C19" s="28"/>
      <c r="D19" s="29"/>
      <c r="E19" s="28"/>
      <c r="F19" s="29"/>
      <c r="G19" s="30"/>
      <c r="H19" s="29"/>
      <c r="I19" s="30"/>
      <c r="J19" s="29"/>
      <c r="K19" s="30"/>
      <c r="L19" s="29"/>
      <c r="M19" s="30"/>
      <c r="N19" s="29"/>
      <c r="O19" s="30"/>
      <c r="P19" s="29"/>
      <c r="Q19" s="22"/>
    </row>
    <row r="20" spans="2:21" s="23" customFormat="1" ht="17.5" customHeight="1" x14ac:dyDescent="0.35">
      <c r="B20" s="49"/>
      <c r="C20" s="31" t="s">
        <v>5</v>
      </c>
      <c r="D20" s="32"/>
      <c r="E20" s="31" t="s">
        <v>5</v>
      </c>
      <c r="F20" s="32"/>
      <c r="G20" s="33" t="s">
        <v>5</v>
      </c>
      <c r="H20" s="32"/>
      <c r="I20" s="33" t="s">
        <v>5</v>
      </c>
      <c r="J20" s="32"/>
      <c r="K20" s="33" t="s">
        <v>5</v>
      </c>
      <c r="L20" s="32"/>
      <c r="M20" s="33" t="s">
        <v>5</v>
      </c>
      <c r="N20" s="32"/>
      <c r="O20" s="33" t="s">
        <v>5</v>
      </c>
      <c r="P20" s="32"/>
      <c r="Q20" s="22"/>
    </row>
    <row r="21" spans="2:21" s="51" customFormat="1" ht="18" customHeight="1" x14ac:dyDescent="0.3">
      <c r="B21" s="52"/>
      <c r="C21" s="55">
        <f>IF(DAY(AugSun1)=1,IF(AND(YEAR(AugSun1+1)=CalendarYear,MONTH(AugSun1+1)=8),AugSun1+1,""),IF(AND(YEAR(AugSun1+8)=CalendarYear,MONTH(AugSun1+8)=8),AugSun1+8,""))</f>
        <v>44410</v>
      </c>
      <c r="D21" s="61" t="s">
        <v>29</v>
      </c>
      <c r="E21" s="55">
        <f>IF(DAY(AugSun1)=1,IF(AND(YEAR(AugSun1+2)=CalendarYear,MONTH(AugSun1+2)=8),AugSun1+2,""),IF(AND(YEAR(AugSun1+9)=CalendarYear,MONTH(AugSun1+9)=8),AugSun1+9,""))</f>
        <v>44411</v>
      </c>
      <c r="F21" s="61" t="s">
        <v>29</v>
      </c>
      <c r="G21" s="56">
        <f>IF(DAY(AugSun1)=1,IF(AND(YEAR(AugSun1+3)=CalendarYear,MONTH(AugSun1+3)=8),AugSun1+3,""),IF(AND(YEAR(AugSun1+10)=CalendarYear,MONTH(AugSun1+10)=8),AugSun1+10,""))</f>
        <v>44412</v>
      </c>
      <c r="H21" s="61" t="s">
        <v>29</v>
      </c>
      <c r="I21" s="56">
        <f>IF(DAY(AugSun1)=1,IF(AND(YEAR(AugSun1+4)=CalendarYear,MONTH(AugSun1+4)=8),AugSun1+4,""),IF(AND(YEAR(AugSun1+11)=CalendarYear,MONTH(AugSun1+11)=8),AugSun1+11,""))</f>
        <v>44413</v>
      </c>
      <c r="J21" s="61" t="s">
        <v>29</v>
      </c>
      <c r="K21" s="56">
        <f>IF(DAY(AugSun1)=1,IF(AND(YEAR(AugSun1+5)=CalendarYear,MONTH(AugSun1+5)=8),AugSun1+5,""),IF(AND(YEAR(AugSun1+12)=CalendarYear,MONTH(AugSun1+12)=8),AugSun1+12,""))</f>
        <v>44414</v>
      </c>
      <c r="L21" s="61" t="s">
        <v>29</v>
      </c>
      <c r="M21" s="56">
        <f>IF(DAY(AugSun1)=1,IF(AND(YEAR(AugSun1+6)=CalendarYear,MONTH(AugSun1+6)=8),AugSun1+6,""),IF(AND(YEAR(AugSun1+13)=CalendarYear,MONTH(AugSun1+13)=8),AugSun1+13,""))</f>
        <v>44415</v>
      </c>
      <c r="N21" s="61" t="s">
        <v>29</v>
      </c>
      <c r="O21" s="56">
        <f>IF(DAY(AugSun1)=1,IF(AND(YEAR(AugSun1+7)=CalendarYear,MONTH(AugSun1+7)=8),AugSun1+7,""),IF(AND(YEAR(AugSun1+14)=CalendarYear,MONTH(AugSun1+14)=8),AugSun1+14,""))</f>
        <v>44416</v>
      </c>
      <c r="P21" s="61" t="s">
        <v>29</v>
      </c>
      <c r="Q21" s="47"/>
      <c r="T21" s="53"/>
      <c r="U21" s="54"/>
    </row>
    <row r="22" spans="2:21" s="23" customFormat="1" ht="17.5" customHeight="1" x14ac:dyDescent="0.45">
      <c r="B22" s="50" t="s">
        <v>1</v>
      </c>
      <c r="C22" s="34"/>
      <c r="D22" s="35"/>
      <c r="E22" s="34"/>
      <c r="F22" s="35"/>
      <c r="G22" s="36"/>
      <c r="H22" s="35"/>
      <c r="I22" s="36"/>
      <c r="J22" s="35"/>
      <c r="K22" s="36"/>
      <c r="L22" s="35"/>
      <c r="M22" s="36"/>
      <c r="N22" s="35"/>
      <c r="O22" s="36"/>
      <c r="P22" s="35"/>
      <c r="Q22" s="22"/>
    </row>
    <row r="23" spans="2:21" s="23" customFormat="1" ht="17.5" customHeight="1" x14ac:dyDescent="0.45">
      <c r="B23" s="50" t="s">
        <v>2</v>
      </c>
      <c r="C23" s="37"/>
      <c r="D23" s="38"/>
      <c r="E23" s="37"/>
      <c r="F23" s="38"/>
      <c r="G23" s="39"/>
      <c r="H23" s="38"/>
      <c r="I23" s="39"/>
      <c r="J23" s="38"/>
      <c r="K23" s="39"/>
      <c r="L23" s="38"/>
      <c r="M23" s="39"/>
      <c r="N23" s="38"/>
      <c r="O23" s="39"/>
      <c r="P23" s="38"/>
      <c r="Q23" s="22"/>
    </row>
    <row r="24" spans="2:21" s="23" customFormat="1" ht="17.5" customHeight="1" x14ac:dyDescent="0.45">
      <c r="B24" s="50" t="s">
        <v>3</v>
      </c>
      <c r="C24" s="37"/>
      <c r="D24" s="38"/>
      <c r="E24" s="37"/>
      <c r="F24" s="38"/>
      <c r="G24" s="39"/>
      <c r="H24" s="38"/>
      <c r="I24" s="39"/>
      <c r="J24" s="38"/>
      <c r="K24" s="39"/>
      <c r="L24" s="38"/>
      <c r="M24" s="39"/>
      <c r="N24" s="38"/>
      <c r="O24" s="39"/>
      <c r="P24" s="38"/>
      <c r="Q24" s="22"/>
    </row>
    <row r="25" spans="2:21" s="23" customFormat="1" ht="17.5" customHeight="1" x14ac:dyDescent="0.45">
      <c r="B25" s="50" t="s">
        <v>4</v>
      </c>
      <c r="C25" s="37"/>
      <c r="D25" s="38"/>
      <c r="E25" s="37"/>
      <c r="F25" s="38"/>
      <c r="G25" s="39"/>
      <c r="H25" s="38"/>
      <c r="I25" s="39"/>
      <c r="J25" s="38"/>
      <c r="K25" s="39"/>
      <c r="L25" s="38"/>
      <c r="M25" s="39"/>
      <c r="N25" s="38"/>
      <c r="O25" s="39"/>
      <c r="P25" s="38"/>
      <c r="Q25" s="22"/>
    </row>
    <row r="26" spans="2:21" s="23" customFormat="1" ht="17.5" customHeight="1" x14ac:dyDescent="0.45">
      <c r="B26" s="50" t="s">
        <v>2</v>
      </c>
      <c r="C26" s="37"/>
      <c r="D26" s="38"/>
      <c r="E26" s="37"/>
      <c r="F26" s="38"/>
      <c r="G26" s="39"/>
      <c r="H26" s="38"/>
      <c r="I26" s="39"/>
      <c r="J26" s="38"/>
      <c r="K26" s="39"/>
      <c r="L26" s="38"/>
      <c r="M26" s="39"/>
      <c r="N26" s="38"/>
      <c r="O26" s="39"/>
      <c r="P26" s="38"/>
      <c r="Q26" s="22"/>
    </row>
    <row r="27" spans="2:21" s="23" customFormat="1" ht="17.5" customHeight="1" x14ac:dyDescent="0.45">
      <c r="B27" s="50"/>
      <c r="C27" s="37"/>
      <c r="D27" s="38"/>
      <c r="E27" s="37"/>
      <c r="F27" s="38"/>
      <c r="G27" s="39"/>
      <c r="H27" s="38"/>
      <c r="I27" s="39"/>
      <c r="J27" s="38"/>
      <c r="K27" s="39"/>
      <c r="L27" s="38"/>
      <c r="M27" s="39"/>
      <c r="N27" s="38"/>
      <c r="O27" s="39"/>
      <c r="P27" s="38"/>
      <c r="Q27" s="22"/>
    </row>
    <row r="28" spans="2:21" s="23" customFormat="1" ht="17.5" customHeight="1" x14ac:dyDescent="0.45">
      <c r="B28" s="50" t="s">
        <v>6</v>
      </c>
      <c r="C28" s="37"/>
      <c r="D28" s="38"/>
      <c r="E28" s="37"/>
      <c r="F28" s="38"/>
      <c r="G28" s="39"/>
      <c r="H28" s="38"/>
      <c r="I28" s="39"/>
      <c r="J28" s="38"/>
      <c r="K28" s="39"/>
      <c r="L28" s="38"/>
      <c r="M28" s="39"/>
      <c r="N28" s="38"/>
      <c r="O28" s="39"/>
      <c r="P28" s="38"/>
      <c r="Q28" s="22"/>
    </row>
    <row r="29" spans="2:21" s="23" customFormat="1" ht="17.5" customHeight="1" x14ac:dyDescent="0.35">
      <c r="B29" s="48"/>
      <c r="C29" s="37"/>
      <c r="D29" s="38"/>
      <c r="E29" s="37"/>
      <c r="F29" s="38"/>
      <c r="G29" s="39"/>
      <c r="H29" s="38"/>
      <c r="I29" s="39"/>
      <c r="J29" s="38"/>
      <c r="K29" s="39"/>
      <c r="L29" s="38"/>
      <c r="M29" s="39"/>
      <c r="N29" s="38"/>
      <c r="O29" s="39"/>
      <c r="P29" s="38"/>
      <c r="Q29" s="22"/>
    </row>
    <row r="30" spans="2:21" s="23" customFormat="1" ht="17.5" customHeight="1" x14ac:dyDescent="0.35">
      <c r="B30" s="48"/>
      <c r="C30" s="37"/>
      <c r="D30" s="38"/>
      <c r="E30" s="37"/>
      <c r="F30" s="38"/>
      <c r="G30" s="39"/>
      <c r="H30" s="38"/>
      <c r="I30" s="39"/>
      <c r="J30" s="38"/>
      <c r="K30" s="39"/>
      <c r="L30" s="38"/>
      <c r="M30" s="39"/>
      <c r="N30" s="38"/>
      <c r="O30" s="39"/>
      <c r="P30" s="38"/>
      <c r="Q30" s="22"/>
    </row>
    <row r="31" spans="2:21" s="23" customFormat="1" ht="17.5" customHeight="1" x14ac:dyDescent="0.35">
      <c r="B31" s="48"/>
      <c r="C31" s="37"/>
      <c r="D31" s="38"/>
      <c r="E31" s="37"/>
      <c r="F31" s="38"/>
      <c r="G31" s="39"/>
      <c r="H31" s="38"/>
      <c r="I31" s="39"/>
      <c r="J31" s="38"/>
      <c r="K31" s="39"/>
      <c r="L31" s="38"/>
      <c r="M31" s="39"/>
      <c r="N31" s="38"/>
      <c r="O31" s="39"/>
      <c r="P31" s="38"/>
      <c r="Q31" s="22"/>
    </row>
    <row r="32" spans="2:21" s="23" customFormat="1" ht="17.5" customHeight="1" x14ac:dyDescent="0.35">
      <c r="B32" s="48"/>
      <c r="C32" s="37"/>
      <c r="D32" s="38"/>
      <c r="E32" s="37"/>
      <c r="F32" s="38"/>
      <c r="G32" s="39"/>
      <c r="H32" s="38"/>
      <c r="I32" s="39"/>
      <c r="J32" s="38"/>
      <c r="K32" s="39"/>
      <c r="L32" s="38"/>
      <c r="M32" s="39"/>
      <c r="N32" s="38"/>
      <c r="O32" s="39"/>
      <c r="P32" s="38"/>
      <c r="Q32" s="22"/>
    </row>
    <row r="33" spans="2:21" s="23" customFormat="1" ht="17.5" customHeight="1" x14ac:dyDescent="0.35">
      <c r="B33" s="49"/>
      <c r="C33" s="40" t="s">
        <v>5</v>
      </c>
      <c r="D33" s="41"/>
      <c r="E33" s="40" t="s">
        <v>5</v>
      </c>
      <c r="F33" s="41"/>
      <c r="G33" s="42" t="s">
        <v>5</v>
      </c>
      <c r="H33" s="41"/>
      <c r="I33" s="42" t="s">
        <v>5</v>
      </c>
      <c r="J33" s="41"/>
      <c r="K33" s="42" t="s">
        <v>5</v>
      </c>
      <c r="L33" s="41"/>
      <c r="M33" s="42" t="s">
        <v>5</v>
      </c>
      <c r="N33" s="41"/>
      <c r="O33" s="42" t="s">
        <v>5</v>
      </c>
      <c r="P33" s="41"/>
      <c r="Q33" s="22"/>
    </row>
    <row r="34" spans="2:21" s="51" customFormat="1" ht="18" customHeight="1" x14ac:dyDescent="0.3">
      <c r="B34" s="52"/>
      <c r="C34" s="55">
        <f>IF(DAY(AugSun1)=1,IF(AND(YEAR(AugSun1+8)=CalendarYear,MONTH(AugSun1+8)=8),AugSun1+8,""),IF(AND(YEAR(AugSun1+15)=CalendarYear,MONTH(AugSun1+15)=8),AugSun1+15,""))</f>
        <v>44417</v>
      </c>
      <c r="D34" s="61" t="s">
        <v>29</v>
      </c>
      <c r="E34" s="55">
        <f>IF(DAY(AugSun1)=1,IF(AND(YEAR(AugSun1+9)=CalendarYear,MONTH(AugSun1+9)=8),AugSun1+9,""),IF(AND(YEAR(AugSun1+16)=CalendarYear,MONTH(AugSun1+16)=8),AugSun1+16,""))</f>
        <v>44418</v>
      </c>
      <c r="F34" s="61" t="s">
        <v>29</v>
      </c>
      <c r="G34" s="56">
        <f>IF(DAY(AugSun1)=1,IF(AND(YEAR(AugSun1+10)=CalendarYear,MONTH(AugSun1+10)=8),AugSun1+10,""),IF(AND(YEAR(AugSun1+17)=CalendarYear,MONTH(AugSun1+17)=8),AugSun1+17,""))</f>
        <v>44419</v>
      </c>
      <c r="H34" s="61" t="s">
        <v>29</v>
      </c>
      <c r="I34" s="56">
        <f>IF(DAY(AugSun1)=1,IF(AND(YEAR(AugSun1+11)=CalendarYear,MONTH(AugSun1+11)=8),AugSun1+11,""),IF(AND(YEAR(AugSun1+18)=CalendarYear,MONTH(AugSun1+18)=8),AugSun1+18,""))</f>
        <v>44420</v>
      </c>
      <c r="J34" s="61" t="s">
        <v>29</v>
      </c>
      <c r="K34" s="56">
        <f>IF(DAY(AugSun1)=1,IF(AND(YEAR(AugSun1+12)=CalendarYear,MONTH(AugSun1+12)=8),AugSun1+12,""),IF(AND(YEAR(AugSun1+19)=CalendarYear,MONTH(AugSun1+19)=8),AugSun1+19,""))</f>
        <v>44421</v>
      </c>
      <c r="L34" s="61" t="s">
        <v>29</v>
      </c>
      <c r="M34" s="56">
        <f>IF(DAY(AugSun1)=1,IF(AND(YEAR(AugSun1+13)=CalendarYear,MONTH(AugSun1+13)=8),AugSun1+13,""),IF(AND(YEAR(AugSun1+20)=CalendarYear,MONTH(AugSun1+20)=8),AugSun1+20,""))</f>
        <v>44422</v>
      </c>
      <c r="N34" s="61" t="s">
        <v>29</v>
      </c>
      <c r="O34" s="56">
        <f>IF(DAY(AugSun1)=1,IF(AND(YEAR(AugSun1+14)=CalendarYear,MONTH(AugSun1+14)=8),AugSun1+14,""),IF(AND(YEAR(AugSun1+21)=CalendarYear,MONTH(AugSun1+21)=8),AugSun1+21,""))</f>
        <v>44423</v>
      </c>
      <c r="P34" s="61" t="s">
        <v>29</v>
      </c>
      <c r="Q34" s="47"/>
      <c r="T34" s="53"/>
      <c r="U34" s="54"/>
    </row>
    <row r="35" spans="2:21" s="23" customFormat="1" ht="17.5" customHeight="1" x14ac:dyDescent="0.45">
      <c r="B35" s="50" t="s">
        <v>1</v>
      </c>
      <c r="C35" s="25"/>
      <c r="D35" s="26"/>
      <c r="E35" s="25"/>
      <c r="F35" s="26"/>
      <c r="G35" s="27"/>
      <c r="H35" s="26"/>
      <c r="I35" s="27"/>
      <c r="J35" s="26"/>
      <c r="K35" s="27"/>
      <c r="L35" s="26"/>
      <c r="M35" s="27"/>
      <c r="N35" s="26"/>
      <c r="O35" s="27"/>
      <c r="P35" s="26"/>
      <c r="Q35" s="22"/>
    </row>
    <row r="36" spans="2:21" s="23" customFormat="1" ht="17.5" customHeight="1" x14ac:dyDescent="0.45">
      <c r="B36" s="50" t="s">
        <v>2</v>
      </c>
      <c r="C36" s="28"/>
      <c r="D36" s="29"/>
      <c r="E36" s="28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22"/>
    </row>
    <row r="37" spans="2:21" s="23" customFormat="1" ht="17.5" customHeight="1" x14ac:dyDescent="0.45">
      <c r="B37" s="50" t="s">
        <v>3</v>
      </c>
      <c r="C37" s="28"/>
      <c r="D37" s="29"/>
      <c r="E37" s="28"/>
      <c r="F37" s="29"/>
      <c r="G37" s="30"/>
      <c r="H37" s="29"/>
      <c r="I37" s="30"/>
      <c r="J37" s="29"/>
      <c r="K37" s="30"/>
      <c r="L37" s="29"/>
      <c r="M37" s="30"/>
      <c r="N37" s="29"/>
      <c r="O37" s="30"/>
      <c r="P37" s="29"/>
      <c r="Q37" s="22"/>
    </row>
    <row r="38" spans="2:21" s="23" customFormat="1" ht="17.5" customHeight="1" x14ac:dyDescent="0.45">
      <c r="B38" s="50" t="s">
        <v>4</v>
      </c>
      <c r="C38" s="28"/>
      <c r="D38" s="29"/>
      <c r="E38" s="28"/>
      <c r="F38" s="29"/>
      <c r="G38" s="30"/>
      <c r="H38" s="29"/>
      <c r="I38" s="30"/>
      <c r="J38" s="29"/>
      <c r="K38" s="30"/>
      <c r="L38" s="29"/>
      <c r="M38" s="30"/>
      <c r="N38" s="29"/>
      <c r="O38" s="30"/>
      <c r="P38" s="29"/>
      <c r="Q38" s="22"/>
    </row>
    <row r="39" spans="2:21" s="23" customFormat="1" ht="17.5" customHeight="1" x14ac:dyDescent="0.45">
      <c r="B39" s="50" t="s">
        <v>2</v>
      </c>
      <c r="C39" s="28"/>
      <c r="D39" s="29"/>
      <c r="E39" s="28"/>
      <c r="F39" s="29"/>
      <c r="G39" s="30"/>
      <c r="H39" s="29"/>
      <c r="I39" s="30"/>
      <c r="J39" s="29"/>
      <c r="K39" s="30"/>
      <c r="L39" s="29"/>
      <c r="M39" s="30"/>
      <c r="N39" s="29"/>
      <c r="O39" s="30"/>
      <c r="P39" s="29"/>
      <c r="Q39" s="22"/>
    </row>
    <row r="40" spans="2:21" s="23" customFormat="1" ht="17.5" customHeight="1" x14ac:dyDescent="0.45">
      <c r="B40" s="50"/>
      <c r="C40" s="28"/>
      <c r="D40" s="29"/>
      <c r="E40" s="28"/>
      <c r="F40" s="29"/>
      <c r="G40" s="30"/>
      <c r="H40" s="29"/>
      <c r="I40" s="30"/>
      <c r="J40" s="29"/>
      <c r="K40" s="30"/>
      <c r="L40" s="29"/>
      <c r="M40" s="30"/>
      <c r="N40" s="29"/>
      <c r="O40" s="30"/>
      <c r="P40" s="29"/>
      <c r="Q40" s="22"/>
    </row>
    <row r="41" spans="2:21" s="23" customFormat="1" ht="17.5" customHeight="1" x14ac:dyDescent="0.45">
      <c r="B41" s="50" t="s">
        <v>6</v>
      </c>
      <c r="C41" s="28"/>
      <c r="D41" s="29"/>
      <c r="E41" s="28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22"/>
    </row>
    <row r="42" spans="2:21" s="23" customFormat="1" ht="17.5" customHeight="1" x14ac:dyDescent="0.35">
      <c r="B42" s="48"/>
      <c r="C42" s="28"/>
      <c r="D42" s="29"/>
      <c r="E42" s="28"/>
      <c r="F42" s="29"/>
      <c r="G42" s="30"/>
      <c r="H42" s="29"/>
      <c r="I42" s="30"/>
      <c r="J42" s="29"/>
      <c r="K42" s="30"/>
      <c r="L42" s="29"/>
      <c r="M42" s="30"/>
      <c r="N42" s="29"/>
      <c r="O42" s="30"/>
      <c r="P42" s="29"/>
      <c r="Q42" s="22"/>
    </row>
    <row r="43" spans="2:21" s="23" customFormat="1" ht="17.5" customHeight="1" x14ac:dyDescent="0.35">
      <c r="B43" s="48"/>
      <c r="C43" s="28"/>
      <c r="D43" s="29"/>
      <c r="E43" s="28"/>
      <c r="F43" s="29"/>
      <c r="G43" s="30"/>
      <c r="H43" s="29"/>
      <c r="I43" s="30"/>
      <c r="J43" s="29"/>
      <c r="K43" s="30"/>
      <c r="L43" s="29"/>
      <c r="M43" s="30"/>
      <c r="N43" s="29"/>
      <c r="O43" s="30"/>
      <c r="P43" s="29"/>
      <c r="Q43" s="22"/>
    </row>
    <row r="44" spans="2:21" s="23" customFormat="1" ht="17.5" customHeight="1" x14ac:dyDescent="0.35">
      <c r="B44" s="48"/>
      <c r="C44" s="28"/>
      <c r="D44" s="29"/>
      <c r="E44" s="28"/>
      <c r="F44" s="29"/>
      <c r="G44" s="30"/>
      <c r="H44" s="29"/>
      <c r="I44" s="30"/>
      <c r="J44" s="29"/>
      <c r="K44" s="30"/>
      <c r="L44" s="29"/>
      <c r="M44" s="30"/>
      <c r="N44" s="29"/>
      <c r="O44" s="30"/>
      <c r="P44" s="29"/>
      <c r="Q44" s="22"/>
    </row>
    <row r="45" spans="2:21" s="23" customFormat="1" ht="17.5" customHeight="1" x14ac:dyDescent="0.35">
      <c r="B45" s="48"/>
      <c r="C45" s="28"/>
      <c r="D45" s="29"/>
      <c r="E45" s="28"/>
      <c r="F45" s="29"/>
      <c r="G45" s="30"/>
      <c r="H45" s="29"/>
      <c r="I45" s="30"/>
      <c r="J45" s="29"/>
      <c r="K45" s="30"/>
      <c r="L45" s="29"/>
      <c r="M45" s="30"/>
      <c r="N45" s="29"/>
      <c r="O45" s="30"/>
      <c r="P45" s="29"/>
      <c r="Q45" s="22"/>
    </row>
    <row r="46" spans="2:21" s="23" customFormat="1" ht="17.5" customHeight="1" x14ac:dyDescent="0.35">
      <c r="B46" s="49"/>
      <c r="C46" s="31" t="s">
        <v>5</v>
      </c>
      <c r="D46" s="32"/>
      <c r="E46" s="31" t="s">
        <v>5</v>
      </c>
      <c r="F46" s="32"/>
      <c r="G46" s="33" t="s">
        <v>5</v>
      </c>
      <c r="H46" s="32"/>
      <c r="I46" s="33" t="s">
        <v>5</v>
      </c>
      <c r="J46" s="32"/>
      <c r="K46" s="33" t="s">
        <v>5</v>
      </c>
      <c r="L46" s="32"/>
      <c r="M46" s="33" t="s">
        <v>5</v>
      </c>
      <c r="N46" s="32"/>
      <c r="O46" s="33" t="s">
        <v>5</v>
      </c>
      <c r="P46" s="32"/>
      <c r="Q46" s="22"/>
    </row>
    <row r="47" spans="2:21" s="51" customFormat="1" ht="18" customHeight="1" x14ac:dyDescent="0.3">
      <c r="B47" s="52"/>
      <c r="C47" s="55">
        <f>IF(DAY(AugSun1)=1,IF(AND(YEAR(AugSun1+15)=CalendarYear,MONTH(AugSun1+15)=8),AugSun1+15,""),IF(AND(YEAR(AugSun1+22)=CalendarYear,MONTH(AugSun1+22)=8),AugSun1+22,""))</f>
        <v>44424</v>
      </c>
      <c r="D47" s="61" t="s">
        <v>29</v>
      </c>
      <c r="E47" s="55">
        <f>IF(DAY(AugSun1)=1,IF(AND(YEAR(AugSun1+16)=CalendarYear,MONTH(AugSun1+16)=8),AugSun1+16,""),IF(AND(YEAR(AugSun1+23)=CalendarYear,MONTH(AugSun1+23)=8),AugSun1+23,""))</f>
        <v>44425</v>
      </c>
      <c r="F47" s="61" t="s">
        <v>29</v>
      </c>
      <c r="G47" s="56">
        <f>IF(DAY(AugSun1)=1,IF(AND(YEAR(AugSun1+17)=CalendarYear,MONTH(AugSun1+17)=8),AugSun1+17,""),IF(AND(YEAR(AugSun1+24)=CalendarYear,MONTH(AugSun1+24)=8),AugSun1+24,""))</f>
        <v>44426</v>
      </c>
      <c r="H47" s="61" t="s">
        <v>29</v>
      </c>
      <c r="I47" s="56">
        <f>IF(DAY(AugSun1)=1,IF(AND(YEAR(AugSun1+18)=CalendarYear,MONTH(AugSun1+18)=8),AugSun1+18,""),IF(AND(YEAR(AugSun1+25)=CalendarYear,MONTH(AugSun1+25)=8),AugSun1+25,""))</f>
        <v>44427</v>
      </c>
      <c r="J47" s="61" t="s">
        <v>29</v>
      </c>
      <c r="K47" s="56">
        <f>IF(DAY(AugSun1)=1,IF(AND(YEAR(AugSun1+19)=CalendarYear,MONTH(AugSun1+19)=8),AugSun1+19,""),IF(AND(YEAR(AugSun1+26)=CalendarYear,MONTH(AugSun1+26)=8),AugSun1+26,""))</f>
        <v>44428</v>
      </c>
      <c r="L47" s="61" t="s">
        <v>29</v>
      </c>
      <c r="M47" s="56">
        <f>IF(DAY(AugSun1)=1,IF(AND(YEAR(AugSun1+20)=CalendarYear,MONTH(AugSun1+20)=8),AugSun1+20,""),IF(AND(YEAR(AugSun1+27)=CalendarYear,MONTH(AugSun1+27)=8),AugSun1+27,""))</f>
        <v>44429</v>
      </c>
      <c r="N47" s="61" t="s">
        <v>29</v>
      </c>
      <c r="O47" s="56">
        <f>IF(DAY(AugSun1)=1,IF(AND(YEAR(AugSun1+21)=CalendarYear,MONTH(AugSun1+21)=8),AugSun1+21,""),IF(AND(YEAR(AugSun1+28)=CalendarYear,MONTH(AugSun1+28)=8),AugSun1+28,""))</f>
        <v>44430</v>
      </c>
      <c r="P47" s="61" t="s">
        <v>29</v>
      </c>
      <c r="Q47" s="47"/>
      <c r="T47" s="53"/>
      <c r="U47" s="54"/>
    </row>
    <row r="48" spans="2:21" s="23" customFormat="1" ht="17.5" customHeight="1" x14ac:dyDescent="0.45">
      <c r="B48" s="50" t="s">
        <v>1</v>
      </c>
      <c r="C48" s="34"/>
      <c r="D48" s="35"/>
      <c r="E48" s="34"/>
      <c r="F48" s="35"/>
      <c r="G48" s="36"/>
      <c r="H48" s="35"/>
      <c r="I48" s="36"/>
      <c r="J48" s="35"/>
      <c r="K48" s="36"/>
      <c r="L48" s="35"/>
      <c r="M48" s="36"/>
      <c r="N48" s="35"/>
      <c r="O48" s="36"/>
      <c r="P48" s="35"/>
      <c r="Q48" s="22"/>
    </row>
    <row r="49" spans="2:21" s="23" customFormat="1" ht="17.5" customHeight="1" x14ac:dyDescent="0.45">
      <c r="B49" s="50" t="s">
        <v>2</v>
      </c>
      <c r="C49" s="37"/>
      <c r="D49" s="38"/>
      <c r="E49" s="37"/>
      <c r="F49" s="38"/>
      <c r="G49" s="39"/>
      <c r="H49" s="38"/>
      <c r="I49" s="39"/>
      <c r="J49" s="38"/>
      <c r="K49" s="39"/>
      <c r="L49" s="38"/>
      <c r="M49" s="39"/>
      <c r="N49" s="38"/>
      <c r="O49" s="39"/>
      <c r="P49" s="38"/>
      <c r="Q49" s="22"/>
    </row>
    <row r="50" spans="2:21" s="23" customFormat="1" ht="17.5" customHeight="1" x14ac:dyDescent="0.45">
      <c r="B50" s="50" t="s">
        <v>3</v>
      </c>
      <c r="C50" s="37"/>
      <c r="D50" s="38"/>
      <c r="E50" s="37"/>
      <c r="F50" s="38"/>
      <c r="G50" s="39"/>
      <c r="H50" s="38"/>
      <c r="I50" s="39"/>
      <c r="J50" s="38"/>
      <c r="K50" s="39"/>
      <c r="L50" s="38"/>
      <c r="M50" s="39"/>
      <c r="N50" s="38"/>
      <c r="O50" s="39"/>
      <c r="P50" s="38"/>
      <c r="Q50" s="22"/>
    </row>
    <row r="51" spans="2:21" s="23" customFormat="1" ht="17.5" customHeight="1" x14ac:dyDescent="0.45">
      <c r="B51" s="50" t="s">
        <v>4</v>
      </c>
      <c r="C51" s="37"/>
      <c r="D51" s="38"/>
      <c r="E51" s="37"/>
      <c r="F51" s="38"/>
      <c r="G51" s="39"/>
      <c r="H51" s="38"/>
      <c r="I51" s="39"/>
      <c r="J51" s="38"/>
      <c r="K51" s="39"/>
      <c r="L51" s="38"/>
      <c r="M51" s="39"/>
      <c r="N51" s="38"/>
      <c r="O51" s="39"/>
      <c r="P51" s="38"/>
      <c r="Q51" s="22"/>
    </row>
    <row r="52" spans="2:21" s="23" customFormat="1" ht="17.5" customHeight="1" x14ac:dyDescent="0.45">
      <c r="B52" s="50" t="s">
        <v>2</v>
      </c>
      <c r="C52" s="37"/>
      <c r="D52" s="38"/>
      <c r="E52" s="37"/>
      <c r="F52" s="38"/>
      <c r="G52" s="39"/>
      <c r="H52" s="38"/>
      <c r="I52" s="39"/>
      <c r="J52" s="38"/>
      <c r="K52" s="39"/>
      <c r="L52" s="38"/>
      <c r="M52" s="39"/>
      <c r="N52" s="38"/>
      <c r="O52" s="39"/>
      <c r="P52" s="38"/>
      <c r="Q52" s="22"/>
    </row>
    <row r="53" spans="2:21" s="23" customFormat="1" ht="17.5" customHeight="1" x14ac:dyDescent="0.45">
      <c r="B53" s="50"/>
      <c r="C53" s="37"/>
      <c r="D53" s="38"/>
      <c r="E53" s="37"/>
      <c r="F53" s="38"/>
      <c r="G53" s="39"/>
      <c r="H53" s="38"/>
      <c r="I53" s="39"/>
      <c r="J53" s="38"/>
      <c r="K53" s="39"/>
      <c r="L53" s="38"/>
      <c r="M53" s="39"/>
      <c r="N53" s="38"/>
      <c r="O53" s="39"/>
      <c r="P53" s="38"/>
      <c r="Q53" s="22"/>
    </row>
    <row r="54" spans="2:21" s="23" customFormat="1" ht="17.5" customHeight="1" x14ac:dyDescent="0.45">
      <c r="B54" s="50" t="s">
        <v>6</v>
      </c>
      <c r="C54" s="37"/>
      <c r="D54" s="38"/>
      <c r="E54" s="37"/>
      <c r="F54" s="38"/>
      <c r="G54" s="39"/>
      <c r="H54" s="38"/>
      <c r="I54" s="39"/>
      <c r="J54" s="38"/>
      <c r="K54" s="39"/>
      <c r="L54" s="38"/>
      <c r="M54" s="39"/>
      <c r="N54" s="38"/>
      <c r="O54" s="39"/>
      <c r="P54" s="38"/>
      <c r="Q54" s="22"/>
    </row>
    <row r="55" spans="2:21" s="23" customFormat="1" ht="17.5" customHeight="1" x14ac:dyDescent="0.35">
      <c r="B55" s="48"/>
      <c r="C55" s="37"/>
      <c r="D55" s="38"/>
      <c r="E55" s="37"/>
      <c r="F55" s="38"/>
      <c r="G55" s="39"/>
      <c r="H55" s="38"/>
      <c r="I55" s="39"/>
      <c r="J55" s="38"/>
      <c r="K55" s="39"/>
      <c r="L55" s="38"/>
      <c r="M55" s="39"/>
      <c r="N55" s="38"/>
      <c r="O55" s="39"/>
      <c r="P55" s="38"/>
      <c r="Q55" s="22"/>
    </row>
    <row r="56" spans="2:21" s="23" customFormat="1" ht="17.5" customHeight="1" x14ac:dyDescent="0.35">
      <c r="B56" s="48"/>
      <c r="C56" s="37"/>
      <c r="D56" s="38"/>
      <c r="E56" s="37"/>
      <c r="F56" s="38"/>
      <c r="G56" s="39"/>
      <c r="H56" s="38"/>
      <c r="I56" s="39"/>
      <c r="J56" s="38"/>
      <c r="K56" s="39"/>
      <c r="L56" s="38"/>
      <c r="M56" s="39"/>
      <c r="N56" s="38"/>
      <c r="O56" s="39"/>
      <c r="P56" s="38"/>
      <c r="Q56" s="22"/>
    </row>
    <row r="57" spans="2:21" s="23" customFormat="1" ht="17.5" customHeight="1" x14ac:dyDescent="0.35">
      <c r="B57" s="48"/>
      <c r="C57" s="37"/>
      <c r="D57" s="38"/>
      <c r="E57" s="37"/>
      <c r="F57" s="38"/>
      <c r="G57" s="39"/>
      <c r="H57" s="38"/>
      <c r="I57" s="39"/>
      <c r="J57" s="38"/>
      <c r="K57" s="39"/>
      <c r="L57" s="38"/>
      <c r="M57" s="39"/>
      <c r="N57" s="38"/>
      <c r="O57" s="39"/>
      <c r="P57" s="38"/>
      <c r="Q57" s="22"/>
    </row>
    <row r="58" spans="2:21" s="23" customFormat="1" ht="17.5" customHeight="1" x14ac:dyDescent="0.35">
      <c r="B58" s="48"/>
      <c r="C58" s="37"/>
      <c r="D58" s="38"/>
      <c r="E58" s="37"/>
      <c r="F58" s="38"/>
      <c r="G58" s="39"/>
      <c r="H58" s="38"/>
      <c r="I58" s="39"/>
      <c r="J58" s="38"/>
      <c r="K58" s="39"/>
      <c r="L58" s="38"/>
      <c r="M58" s="39"/>
      <c r="N58" s="38"/>
      <c r="O58" s="39"/>
      <c r="P58" s="38"/>
      <c r="Q58" s="22"/>
    </row>
    <row r="59" spans="2:21" s="23" customFormat="1" ht="17.5" customHeight="1" x14ac:dyDescent="0.35">
      <c r="B59" s="49"/>
      <c r="C59" s="40" t="s">
        <v>5</v>
      </c>
      <c r="D59" s="41"/>
      <c r="E59" s="40" t="s">
        <v>5</v>
      </c>
      <c r="F59" s="41"/>
      <c r="G59" s="42" t="s">
        <v>5</v>
      </c>
      <c r="H59" s="41"/>
      <c r="I59" s="42" t="s">
        <v>5</v>
      </c>
      <c r="J59" s="41"/>
      <c r="K59" s="42" t="s">
        <v>5</v>
      </c>
      <c r="L59" s="41"/>
      <c r="M59" s="42" t="s">
        <v>5</v>
      </c>
      <c r="N59" s="41"/>
      <c r="O59" s="42" t="s">
        <v>5</v>
      </c>
      <c r="P59" s="41"/>
      <c r="Q59" s="22"/>
    </row>
    <row r="60" spans="2:21" s="51" customFormat="1" ht="18" customHeight="1" x14ac:dyDescent="0.3">
      <c r="B60" s="52"/>
      <c r="C60" s="55">
        <f>IF(DAY(AugSun1)=1,IF(AND(YEAR(AugSun1+22)=CalendarYear,MONTH(AugSun1+22)=8),AugSun1+22,""),IF(AND(YEAR(AugSun1+29)=CalendarYear,MONTH(AugSun1+29)=8),AugSun1+29,""))</f>
        <v>44431</v>
      </c>
      <c r="D60" s="61" t="s">
        <v>29</v>
      </c>
      <c r="E60" s="55">
        <f>IF(DAY(AugSun1)=1,IF(AND(YEAR(AugSun1+23)=CalendarYear,MONTH(AugSun1+23)=8),AugSun1+23,""),IF(AND(YEAR(AugSun1+30)=CalendarYear,MONTH(AugSun1+30)=8),AugSun1+30,""))</f>
        <v>44432</v>
      </c>
      <c r="F60" s="61" t="s">
        <v>29</v>
      </c>
      <c r="G60" s="56">
        <f>IF(DAY(AugSun1)=1,IF(AND(YEAR(AugSun1+24)=CalendarYear,MONTH(AugSun1+24)=8),AugSun1+24,""),IF(AND(YEAR(AugSun1+31)=CalendarYear,MONTH(AugSun1+31)=8),AugSun1+31,""))</f>
        <v>44433</v>
      </c>
      <c r="H60" s="61" t="s">
        <v>29</v>
      </c>
      <c r="I60" s="56">
        <f>IF(DAY(AugSun1)=1,IF(AND(YEAR(AugSun1+25)=CalendarYear,MONTH(AugSun1+25)=8),AugSun1+25,""),IF(AND(YEAR(AugSun1+32)=CalendarYear,MONTH(AugSun1+32)=8),AugSun1+32,""))</f>
        <v>44434</v>
      </c>
      <c r="J60" s="61" t="s">
        <v>29</v>
      </c>
      <c r="K60" s="56">
        <f>IF(DAY(AugSun1)=1,IF(AND(YEAR(AugSun1+26)=CalendarYear,MONTH(AugSun1+26)=8),AugSun1+26,""),IF(AND(YEAR(AugSun1+33)=CalendarYear,MONTH(AugSun1+33)=8),AugSun1+33,""))</f>
        <v>44435</v>
      </c>
      <c r="L60" s="61" t="s">
        <v>29</v>
      </c>
      <c r="M60" s="56">
        <f>IF(DAY(AugSun1)=1,IF(AND(YEAR(AugSun1+27)=CalendarYear,MONTH(AugSun1+27)=8),AugSun1+27,""),IF(AND(YEAR(AugSun1+34)=CalendarYear,MONTH(AugSun1+34)=8),AugSun1+34,""))</f>
        <v>44436</v>
      </c>
      <c r="N60" s="61" t="s">
        <v>29</v>
      </c>
      <c r="O60" s="56">
        <f>IF(DAY(AugSun1)=1,IF(AND(YEAR(AugSun1+28)=CalendarYear,MONTH(AugSun1+28)=8),AugSun1+28,""),IF(AND(YEAR(AugSun1+35)=CalendarYear,MONTH(AugSun1+35)=8),AugSun1+35,""))</f>
        <v>44437</v>
      </c>
      <c r="P60" s="61" t="s">
        <v>29</v>
      </c>
      <c r="Q60" s="47"/>
      <c r="T60" s="53"/>
      <c r="U60" s="54"/>
    </row>
    <row r="61" spans="2:21" s="23" customFormat="1" ht="17.5" customHeight="1" x14ac:dyDescent="0.45">
      <c r="B61" s="50" t="s">
        <v>1</v>
      </c>
      <c r="C61" s="25"/>
      <c r="D61" s="26"/>
      <c r="E61" s="25"/>
      <c r="F61" s="26"/>
      <c r="G61" s="27"/>
      <c r="H61" s="26"/>
      <c r="I61" s="27"/>
      <c r="J61" s="26"/>
      <c r="K61" s="27"/>
      <c r="L61" s="26"/>
      <c r="M61" s="27"/>
      <c r="N61" s="26"/>
      <c r="O61" s="27"/>
      <c r="P61" s="26"/>
      <c r="Q61" s="22"/>
    </row>
    <row r="62" spans="2:21" s="23" customFormat="1" ht="17.5" customHeight="1" x14ac:dyDescent="0.45">
      <c r="B62" s="50" t="s">
        <v>2</v>
      </c>
      <c r="C62" s="28"/>
      <c r="D62" s="29"/>
      <c r="E62" s="28"/>
      <c r="F62" s="29"/>
      <c r="G62" s="30"/>
      <c r="H62" s="29"/>
      <c r="I62" s="30"/>
      <c r="J62" s="29"/>
      <c r="K62" s="30"/>
      <c r="L62" s="29"/>
      <c r="M62" s="30"/>
      <c r="N62" s="29"/>
      <c r="O62" s="30"/>
      <c r="P62" s="29"/>
      <c r="Q62" s="22"/>
    </row>
    <row r="63" spans="2:21" s="23" customFormat="1" ht="17.5" customHeight="1" x14ac:dyDescent="0.45">
      <c r="B63" s="50" t="s">
        <v>3</v>
      </c>
      <c r="C63" s="28"/>
      <c r="D63" s="29"/>
      <c r="E63" s="28"/>
      <c r="F63" s="29"/>
      <c r="G63" s="30"/>
      <c r="H63" s="29"/>
      <c r="I63" s="30"/>
      <c r="J63" s="29"/>
      <c r="K63" s="30"/>
      <c r="L63" s="29"/>
      <c r="M63" s="30"/>
      <c r="N63" s="29"/>
      <c r="O63" s="30"/>
      <c r="P63" s="29"/>
      <c r="Q63" s="22"/>
    </row>
    <row r="64" spans="2:21" s="23" customFormat="1" ht="17.5" customHeight="1" x14ac:dyDescent="0.45">
      <c r="B64" s="50" t="s">
        <v>4</v>
      </c>
      <c r="C64" s="28"/>
      <c r="D64" s="29"/>
      <c r="E64" s="28"/>
      <c r="F64" s="29"/>
      <c r="G64" s="30"/>
      <c r="H64" s="29"/>
      <c r="I64" s="30"/>
      <c r="J64" s="29"/>
      <c r="K64" s="30"/>
      <c r="L64" s="29"/>
      <c r="M64" s="30"/>
      <c r="N64" s="29"/>
      <c r="O64" s="30"/>
      <c r="P64" s="29"/>
      <c r="Q64" s="22"/>
    </row>
    <row r="65" spans="1:21" s="23" customFormat="1" ht="17.5" customHeight="1" x14ac:dyDescent="0.45">
      <c r="B65" s="50" t="s">
        <v>2</v>
      </c>
      <c r="C65" s="28"/>
      <c r="D65" s="29"/>
      <c r="E65" s="28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22"/>
    </row>
    <row r="66" spans="1:21" s="23" customFormat="1" ht="17.5" customHeight="1" x14ac:dyDescent="0.45">
      <c r="B66" s="50"/>
      <c r="C66" s="28"/>
      <c r="D66" s="29"/>
      <c r="E66" s="28"/>
      <c r="F66" s="29"/>
      <c r="G66" s="30"/>
      <c r="H66" s="29"/>
      <c r="I66" s="30"/>
      <c r="J66" s="29"/>
      <c r="K66" s="30"/>
      <c r="L66" s="29"/>
      <c r="M66" s="30"/>
      <c r="N66" s="29"/>
      <c r="O66" s="30"/>
      <c r="P66" s="29"/>
      <c r="Q66" s="22"/>
    </row>
    <row r="67" spans="1:21" s="23" customFormat="1" ht="17.5" customHeight="1" x14ac:dyDescent="0.45">
      <c r="B67" s="50" t="s">
        <v>6</v>
      </c>
      <c r="C67" s="28"/>
      <c r="D67" s="29"/>
      <c r="E67" s="28"/>
      <c r="F67" s="29"/>
      <c r="G67" s="30"/>
      <c r="H67" s="29"/>
      <c r="I67" s="30"/>
      <c r="J67" s="29"/>
      <c r="K67" s="30"/>
      <c r="L67" s="29"/>
      <c r="M67" s="30"/>
      <c r="N67" s="29"/>
      <c r="O67" s="30"/>
      <c r="P67" s="29"/>
      <c r="Q67" s="22"/>
    </row>
    <row r="68" spans="1:21" s="23" customFormat="1" ht="17.5" customHeight="1" x14ac:dyDescent="0.35">
      <c r="B68" s="48"/>
      <c r="C68" s="28"/>
      <c r="D68" s="29"/>
      <c r="E68" s="28"/>
      <c r="F68" s="29"/>
      <c r="G68" s="30"/>
      <c r="H68" s="29"/>
      <c r="I68" s="30"/>
      <c r="J68" s="29"/>
      <c r="K68" s="30"/>
      <c r="L68" s="29"/>
      <c r="M68" s="30"/>
      <c r="N68" s="29"/>
      <c r="O68" s="30"/>
      <c r="P68" s="29"/>
      <c r="Q68" s="22"/>
    </row>
    <row r="69" spans="1:21" s="23" customFormat="1" ht="17.5" customHeight="1" x14ac:dyDescent="0.35">
      <c r="B69" s="48"/>
      <c r="C69" s="28"/>
      <c r="D69" s="29"/>
      <c r="E69" s="28"/>
      <c r="F69" s="29"/>
      <c r="G69" s="30"/>
      <c r="H69" s="29"/>
      <c r="I69" s="30"/>
      <c r="J69" s="29"/>
      <c r="K69" s="30"/>
      <c r="L69" s="29"/>
      <c r="M69" s="30"/>
      <c r="N69" s="29"/>
      <c r="O69" s="30"/>
      <c r="P69" s="29"/>
      <c r="Q69" s="22"/>
    </row>
    <row r="70" spans="1:21" s="23" customFormat="1" ht="17.5" customHeight="1" x14ac:dyDescent="0.35">
      <c r="B70" s="48"/>
      <c r="C70" s="28"/>
      <c r="D70" s="29"/>
      <c r="E70" s="28"/>
      <c r="F70" s="29"/>
      <c r="G70" s="30"/>
      <c r="H70" s="29"/>
      <c r="I70" s="30"/>
      <c r="J70" s="29"/>
      <c r="K70" s="30"/>
      <c r="L70" s="29"/>
      <c r="M70" s="30"/>
      <c r="N70" s="29"/>
      <c r="O70" s="30"/>
      <c r="P70" s="29"/>
      <c r="Q70" s="22"/>
    </row>
    <row r="71" spans="1:21" s="23" customFormat="1" ht="17.5" customHeight="1" x14ac:dyDescent="0.35">
      <c r="B71" s="48"/>
      <c r="C71" s="28"/>
      <c r="D71" s="29"/>
      <c r="E71" s="28"/>
      <c r="F71" s="29"/>
      <c r="G71" s="30"/>
      <c r="H71" s="29"/>
      <c r="I71" s="30"/>
      <c r="J71" s="29"/>
      <c r="K71" s="30"/>
      <c r="L71" s="29"/>
      <c r="M71" s="30"/>
      <c r="N71" s="29"/>
      <c r="O71" s="30"/>
      <c r="P71" s="29"/>
      <c r="Q71" s="22"/>
    </row>
    <row r="72" spans="1:21" s="23" customFormat="1" ht="17.5" customHeight="1" x14ac:dyDescent="0.35">
      <c r="B72" s="49"/>
      <c r="C72" s="31" t="s">
        <v>5</v>
      </c>
      <c r="D72" s="32"/>
      <c r="E72" s="31" t="s">
        <v>5</v>
      </c>
      <c r="F72" s="32"/>
      <c r="G72" s="33" t="s">
        <v>5</v>
      </c>
      <c r="H72" s="32"/>
      <c r="I72" s="33" t="s">
        <v>5</v>
      </c>
      <c r="J72" s="32"/>
      <c r="K72" s="33" t="s">
        <v>5</v>
      </c>
      <c r="L72" s="32"/>
      <c r="M72" s="33" t="s">
        <v>5</v>
      </c>
      <c r="N72" s="32"/>
      <c r="O72" s="33" t="s">
        <v>5</v>
      </c>
      <c r="P72" s="32"/>
      <c r="Q72" s="22"/>
    </row>
    <row r="73" spans="1:21" s="21" customFormat="1" ht="18" customHeight="1" x14ac:dyDescent="0.3">
      <c r="A73" s="51"/>
      <c r="B73" s="52"/>
      <c r="C73" s="55">
        <f>IF(DAY(AugSun1)=1,IF(AND(YEAR(AugSun1+29)=CalendarYear,MONTH(AugSun1+29)=8),AugSun1+29,""),IF(AND(YEAR(AugSun1+36)=CalendarYear,MONTH(AugSun1+36)=8),AugSun1+36,""))</f>
        <v>44438</v>
      </c>
      <c r="D73" s="61" t="s">
        <v>29</v>
      </c>
      <c r="E73" s="55">
        <f>IF(DAY(AugSun1)=1,IF(AND(YEAR(AugSun1+30)=CalendarYear,MONTH(AugSun1+30)=8),AugSun1+30,""),IF(AND(YEAR(AugSun1+37)=CalendarYear,MONTH(AugSun1+37)=8),AugSun1+37,""))</f>
        <v>44439</v>
      </c>
      <c r="F73" s="61" t="s">
        <v>29</v>
      </c>
      <c r="G73" s="56" t="s">
        <v>14</v>
      </c>
      <c r="H73" s="57"/>
      <c r="I73" s="58"/>
      <c r="J73" s="57"/>
      <c r="K73" s="58"/>
      <c r="L73" s="57"/>
      <c r="M73" s="58"/>
      <c r="N73" s="57"/>
      <c r="O73" s="58"/>
      <c r="P73" s="57"/>
      <c r="Q73" s="22"/>
      <c r="T73" s="23"/>
      <c r="U73" s="24"/>
    </row>
    <row r="74" spans="1:21" s="23" customFormat="1" ht="17.5" customHeight="1" x14ac:dyDescent="0.45">
      <c r="B74" s="50" t="s">
        <v>1</v>
      </c>
      <c r="C74" s="34"/>
      <c r="D74" s="35"/>
      <c r="E74" s="34"/>
      <c r="F74" s="35"/>
      <c r="G74" s="163"/>
      <c r="H74" s="164"/>
      <c r="I74" s="164"/>
      <c r="J74" s="164"/>
      <c r="K74" s="164"/>
      <c r="L74" s="164"/>
      <c r="M74" s="164"/>
      <c r="N74" s="164"/>
      <c r="O74" s="164"/>
      <c r="P74" s="165"/>
      <c r="Q74" s="22"/>
    </row>
    <row r="75" spans="1:21" s="23" customFormat="1" ht="17.5" customHeight="1" x14ac:dyDescent="0.45">
      <c r="B75" s="50" t="s">
        <v>2</v>
      </c>
      <c r="C75" s="37"/>
      <c r="D75" s="38"/>
      <c r="E75" s="37"/>
      <c r="F75" s="38"/>
      <c r="G75" s="166"/>
      <c r="H75" s="167"/>
      <c r="I75" s="167"/>
      <c r="J75" s="167"/>
      <c r="K75" s="167"/>
      <c r="L75" s="167"/>
      <c r="M75" s="167"/>
      <c r="N75" s="167"/>
      <c r="O75" s="167"/>
      <c r="P75" s="168"/>
      <c r="Q75" s="22"/>
    </row>
    <row r="76" spans="1:21" s="23" customFormat="1" ht="17.5" customHeight="1" x14ac:dyDescent="0.45">
      <c r="B76" s="50" t="s">
        <v>3</v>
      </c>
      <c r="C76" s="37"/>
      <c r="D76" s="38"/>
      <c r="E76" s="37"/>
      <c r="F76" s="38"/>
      <c r="G76" s="166"/>
      <c r="H76" s="167"/>
      <c r="I76" s="167"/>
      <c r="J76" s="167"/>
      <c r="K76" s="167"/>
      <c r="L76" s="167"/>
      <c r="M76" s="167"/>
      <c r="N76" s="167"/>
      <c r="O76" s="167"/>
      <c r="P76" s="168"/>
      <c r="Q76" s="22"/>
    </row>
    <row r="77" spans="1:21" s="23" customFormat="1" ht="17.5" customHeight="1" x14ac:dyDescent="0.45">
      <c r="B77" s="50" t="s">
        <v>4</v>
      </c>
      <c r="C77" s="37"/>
      <c r="D77" s="38"/>
      <c r="E77" s="37"/>
      <c r="F77" s="38"/>
      <c r="G77" s="166"/>
      <c r="H77" s="167"/>
      <c r="I77" s="167"/>
      <c r="J77" s="167"/>
      <c r="K77" s="167"/>
      <c r="L77" s="167"/>
      <c r="M77" s="167"/>
      <c r="N77" s="167"/>
      <c r="O77" s="167"/>
      <c r="P77" s="168"/>
      <c r="Q77" s="22"/>
    </row>
    <row r="78" spans="1:21" s="23" customFormat="1" ht="17.5" customHeight="1" x14ac:dyDescent="0.45">
      <c r="B78" s="50" t="s">
        <v>2</v>
      </c>
      <c r="C78" s="37"/>
      <c r="D78" s="38"/>
      <c r="E78" s="37"/>
      <c r="F78" s="38"/>
      <c r="G78" s="166"/>
      <c r="H78" s="167"/>
      <c r="I78" s="167"/>
      <c r="J78" s="167"/>
      <c r="K78" s="167"/>
      <c r="L78" s="167"/>
      <c r="M78" s="167"/>
      <c r="N78" s="167"/>
      <c r="O78" s="167"/>
      <c r="P78" s="168"/>
      <c r="Q78" s="22"/>
    </row>
    <row r="79" spans="1:21" s="23" customFormat="1" ht="17.5" customHeight="1" x14ac:dyDescent="0.45">
      <c r="B79" s="50"/>
      <c r="C79" s="37"/>
      <c r="D79" s="38"/>
      <c r="E79" s="37"/>
      <c r="F79" s="38"/>
      <c r="G79" s="166"/>
      <c r="H79" s="167"/>
      <c r="I79" s="167"/>
      <c r="J79" s="167"/>
      <c r="K79" s="167"/>
      <c r="L79" s="167"/>
      <c r="M79" s="167"/>
      <c r="N79" s="167"/>
      <c r="O79" s="167"/>
      <c r="P79" s="168"/>
      <c r="Q79" s="22"/>
    </row>
    <row r="80" spans="1:21" s="23" customFormat="1" ht="17.5" customHeight="1" x14ac:dyDescent="0.45">
      <c r="B80" s="50" t="s">
        <v>6</v>
      </c>
      <c r="C80" s="37"/>
      <c r="D80" s="38"/>
      <c r="E80" s="37"/>
      <c r="F80" s="38"/>
      <c r="G80" s="166"/>
      <c r="H80" s="167"/>
      <c r="I80" s="167"/>
      <c r="J80" s="167"/>
      <c r="K80" s="167"/>
      <c r="L80" s="167"/>
      <c r="M80" s="167"/>
      <c r="N80" s="167"/>
      <c r="O80" s="167"/>
      <c r="P80" s="168"/>
      <c r="Q80" s="22"/>
    </row>
    <row r="81" spans="1:17" s="23" customFormat="1" ht="17.5" customHeight="1" x14ac:dyDescent="0.35">
      <c r="B81" s="48"/>
      <c r="C81" s="37"/>
      <c r="D81" s="38"/>
      <c r="E81" s="37"/>
      <c r="F81" s="38"/>
      <c r="G81" s="166"/>
      <c r="H81" s="167"/>
      <c r="I81" s="167"/>
      <c r="J81" s="167"/>
      <c r="K81" s="167"/>
      <c r="L81" s="167"/>
      <c r="M81" s="167"/>
      <c r="N81" s="167"/>
      <c r="O81" s="167"/>
      <c r="P81" s="168"/>
      <c r="Q81" s="22"/>
    </row>
    <row r="82" spans="1:17" s="23" customFormat="1" ht="17.5" customHeight="1" x14ac:dyDescent="0.35">
      <c r="B82" s="48"/>
      <c r="C82" s="37"/>
      <c r="D82" s="38"/>
      <c r="E82" s="37"/>
      <c r="F82" s="38"/>
      <c r="G82" s="166"/>
      <c r="H82" s="167"/>
      <c r="I82" s="167"/>
      <c r="J82" s="167"/>
      <c r="K82" s="167"/>
      <c r="L82" s="167"/>
      <c r="M82" s="167"/>
      <c r="N82" s="167"/>
      <c r="O82" s="167"/>
      <c r="P82" s="168"/>
      <c r="Q82" s="22"/>
    </row>
    <row r="83" spans="1:17" s="23" customFormat="1" ht="17.5" customHeight="1" x14ac:dyDescent="0.35">
      <c r="B83" s="48"/>
      <c r="C83" s="37"/>
      <c r="D83" s="38"/>
      <c r="E83" s="37"/>
      <c r="F83" s="38"/>
      <c r="G83" s="166"/>
      <c r="H83" s="167"/>
      <c r="I83" s="167"/>
      <c r="J83" s="167"/>
      <c r="K83" s="167"/>
      <c r="L83" s="167"/>
      <c r="M83" s="167"/>
      <c r="N83" s="167"/>
      <c r="O83" s="167"/>
      <c r="P83" s="168"/>
      <c r="Q83" s="22"/>
    </row>
    <row r="84" spans="1:17" s="23" customFormat="1" ht="17.5" customHeight="1" x14ac:dyDescent="0.35">
      <c r="B84" s="48"/>
      <c r="C84" s="37"/>
      <c r="D84" s="38"/>
      <c r="E84" s="37"/>
      <c r="F84" s="38"/>
      <c r="G84" s="166"/>
      <c r="H84" s="167"/>
      <c r="I84" s="167"/>
      <c r="J84" s="167"/>
      <c r="K84" s="167"/>
      <c r="L84" s="167"/>
      <c r="M84" s="167"/>
      <c r="N84" s="167"/>
      <c r="O84" s="167"/>
      <c r="P84" s="168"/>
      <c r="Q84" s="22"/>
    </row>
    <row r="85" spans="1:17" s="23" customFormat="1" ht="17.5" customHeight="1" x14ac:dyDescent="0.35">
      <c r="B85" s="49"/>
      <c r="C85" s="40" t="s">
        <v>5</v>
      </c>
      <c r="D85" s="41"/>
      <c r="E85" s="40" t="s">
        <v>5</v>
      </c>
      <c r="F85" s="41"/>
      <c r="G85" s="169"/>
      <c r="H85" s="170"/>
      <c r="I85" s="170"/>
      <c r="J85" s="170"/>
      <c r="K85" s="170"/>
      <c r="L85" s="170"/>
      <c r="M85" s="170"/>
      <c r="N85" s="170"/>
      <c r="O85" s="170"/>
      <c r="P85" s="171"/>
      <c r="Q85" s="22"/>
    </row>
    <row r="86" spans="1:17" ht="22.75" customHeight="1" x14ac:dyDescent="0.3">
      <c r="B86" s="159" t="s">
        <v>27</v>
      </c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</row>
    <row r="87" spans="1:17" ht="22.75" customHeight="1" x14ac:dyDescent="0.3">
      <c r="A87" s="2"/>
      <c r="B87" s="158" t="s">
        <v>28</v>
      </c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</row>
    <row r="88" spans="1:17" x14ac:dyDescent="0.3">
      <c r="A88" s="2"/>
    </row>
    <row r="89" spans="1:17" x14ac:dyDescent="0.3">
      <c r="A89" s="2"/>
    </row>
    <row r="90" spans="1:17" ht="21" customHeight="1" x14ac:dyDescent="0.3">
      <c r="A90" s="2"/>
      <c r="E90" s="5"/>
      <c r="F90" s="17"/>
      <c r="G90" s="4"/>
      <c r="H90" s="18"/>
      <c r="I90" s="3"/>
      <c r="J90" s="19"/>
    </row>
    <row r="91" spans="1:17" ht="19.5" customHeight="1" x14ac:dyDescent="0.3">
      <c r="A91" s="2"/>
    </row>
    <row r="92" spans="1:17" ht="15" x14ac:dyDescent="0.3">
      <c r="A92"/>
    </row>
    <row r="93" spans="1:17" x14ac:dyDescent="0.3">
      <c r="A93" s="2"/>
    </row>
    <row r="94" spans="1:17" x14ac:dyDescent="0.3">
      <c r="A94" s="2"/>
    </row>
    <row r="95" spans="1:17" x14ac:dyDescent="0.3">
      <c r="A95" s="2"/>
    </row>
    <row r="96" spans="1:17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ht="15" x14ac:dyDescent="0.3">
      <c r="A105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ht="15" x14ac:dyDescent="0.3">
      <c r="A118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ht="15" x14ac:dyDescent="0.3">
      <c r="A131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4" spans="1:1" ht="15" x14ac:dyDescent="0.3">
      <c r="A144"/>
    </row>
    <row r="145" spans="1:1" x14ac:dyDescent="0.3">
      <c r="A145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x14ac:dyDescent="0.3">
      <c r="A150" s="2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ht="15" x14ac:dyDescent="0.3">
      <c r="A163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x14ac:dyDescent="0.3">
      <c r="A174" s="2"/>
    </row>
    <row r="175" spans="1:1" x14ac:dyDescent="0.3">
      <c r="A175" s="2"/>
    </row>
    <row r="176" spans="1:1" ht="15" x14ac:dyDescent="0.3">
      <c r="A176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ht="15" x14ac:dyDescent="0.3">
      <c r="A189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ht="15" x14ac:dyDescent="0.3">
      <c r="A20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x14ac:dyDescent="0.3">
      <c r="A213" s="2"/>
    </row>
    <row r="214" spans="1:1" x14ac:dyDescent="0.3">
      <c r="A214" s="2"/>
    </row>
    <row r="215" spans="1:1" ht="15" x14ac:dyDescent="0.3">
      <c r="A215"/>
    </row>
    <row r="216" spans="1:1" x14ac:dyDescent="0.3">
      <c r="A216" s="2"/>
    </row>
    <row r="217" spans="1:1" x14ac:dyDescent="0.3">
      <c r="A217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x14ac:dyDescent="0.3">
      <c r="A225" s="2"/>
    </row>
    <row r="226" spans="1:1" x14ac:dyDescent="0.3">
      <c r="A226" s="2"/>
    </row>
    <row r="227" spans="1:1" x14ac:dyDescent="0.3">
      <c r="A227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ht="15" x14ac:dyDescent="0.3">
      <c r="A238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ht="15" x14ac:dyDescent="0.3">
      <c r="A251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ht="15" x14ac:dyDescent="0.3">
      <c r="A264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  <row r="269" spans="1:1" x14ac:dyDescent="0.3">
      <c r="A269" s="2"/>
    </row>
    <row r="270" spans="1:1" x14ac:dyDescent="0.3">
      <c r="A270" s="2"/>
    </row>
    <row r="271" spans="1:1" x14ac:dyDescent="0.3">
      <c r="A271" s="2"/>
    </row>
    <row r="272" spans="1:1" x14ac:dyDescent="0.3">
      <c r="A272" s="2"/>
    </row>
    <row r="273" spans="1:1" x14ac:dyDescent="0.3">
      <c r="A273" s="2"/>
    </row>
    <row r="274" spans="1:1" x14ac:dyDescent="0.3">
      <c r="A274" s="2"/>
    </row>
    <row r="275" spans="1:1" x14ac:dyDescent="0.3">
      <c r="A275" s="2"/>
    </row>
    <row r="276" spans="1:1" x14ac:dyDescent="0.3">
      <c r="A276" s="2"/>
    </row>
    <row r="277" spans="1:1" ht="15" x14ac:dyDescent="0.3">
      <c r="A277"/>
    </row>
    <row r="278" spans="1:1" x14ac:dyDescent="0.3">
      <c r="A278" s="2"/>
    </row>
    <row r="279" spans="1:1" x14ac:dyDescent="0.3">
      <c r="A279" s="2"/>
    </row>
    <row r="280" spans="1:1" x14ac:dyDescent="0.3">
      <c r="A280" s="2"/>
    </row>
    <row r="281" spans="1:1" x14ac:dyDescent="0.3">
      <c r="A281" s="2"/>
    </row>
    <row r="282" spans="1:1" x14ac:dyDescent="0.3">
      <c r="A282" s="2"/>
    </row>
    <row r="283" spans="1:1" x14ac:dyDescent="0.3">
      <c r="A283" s="2"/>
    </row>
    <row r="284" spans="1:1" x14ac:dyDescent="0.3">
      <c r="A284" s="2"/>
    </row>
    <row r="285" spans="1:1" x14ac:dyDescent="0.3">
      <c r="A285" s="2"/>
    </row>
    <row r="286" spans="1:1" x14ac:dyDescent="0.3">
      <c r="A286" s="2"/>
    </row>
    <row r="287" spans="1:1" x14ac:dyDescent="0.3">
      <c r="A287" s="2"/>
    </row>
    <row r="288" spans="1:1" x14ac:dyDescent="0.3">
      <c r="A288" s="2"/>
    </row>
    <row r="289" spans="1:1" x14ac:dyDescent="0.3">
      <c r="A289" s="2"/>
    </row>
    <row r="290" spans="1:1" ht="15" x14ac:dyDescent="0.3">
      <c r="A290"/>
    </row>
    <row r="291" spans="1:1" x14ac:dyDescent="0.3">
      <c r="A291" s="2"/>
    </row>
    <row r="292" spans="1:1" x14ac:dyDescent="0.3">
      <c r="A292" s="2"/>
    </row>
    <row r="293" spans="1:1" x14ac:dyDescent="0.3">
      <c r="A293" s="2"/>
    </row>
    <row r="294" spans="1:1" x14ac:dyDescent="0.3">
      <c r="A294" s="2"/>
    </row>
    <row r="295" spans="1:1" x14ac:dyDescent="0.3">
      <c r="A295" s="2"/>
    </row>
    <row r="296" spans="1:1" x14ac:dyDescent="0.3">
      <c r="A296" s="2"/>
    </row>
    <row r="297" spans="1:1" x14ac:dyDescent="0.3">
      <c r="A297" s="2"/>
    </row>
    <row r="298" spans="1:1" x14ac:dyDescent="0.3">
      <c r="A298" s="2"/>
    </row>
    <row r="299" spans="1:1" x14ac:dyDescent="0.3">
      <c r="A299" s="2"/>
    </row>
    <row r="300" spans="1:1" x14ac:dyDescent="0.3">
      <c r="A300" s="2"/>
    </row>
    <row r="301" spans="1:1" x14ac:dyDescent="0.3">
      <c r="A301" s="2"/>
    </row>
    <row r="302" spans="1:1" x14ac:dyDescent="0.3">
      <c r="A302" s="2"/>
    </row>
  </sheetData>
  <mergeCells count="7">
    <mergeCell ref="BK4:BN5"/>
    <mergeCell ref="CB6:CC6"/>
    <mergeCell ref="B86:P86"/>
    <mergeCell ref="B87:P87"/>
    <mergeCell ref="G74:P85"/>
    <mergeCell ref="B4:C5"/>
    <mergeCell ref="G6:H6"/>
  </mergeCells>
  <printOptions horizontalCentered="1" verticalCentered="1"/>
  <pageMargins left="0.2" right="0.2" top="0.25" bottom="0.25" header="0" footer="0"/>
  <pageSetup scale="34" orientation="landscape" r:id="rId1"/>
  <headerFooter scaleWithDoc="0"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theme="0" tint="-0.14999847407452621"/>
    <pageSetUpPr fitToPage="1"/>
  </sheetPr>
  <dimension ref="A1:CJ302"/>
  <sheetViews>
    <sheetView showGridLines="0" zoomScale="50" zoomScaleNormal="50" workbookViewId="0">
      <selection activeCell="C9" sqref="C9"/>
    </sheetView>
  </sheetViews>
  <sheetFormatPr defaultColWidth="6.69140625" defaultRowHeight="14" x14ac:dyDescent="0.3"/>
  <cols>
    <col min="1" max="1" width="5.53515625" style="1" customWidth="1"/>
    <col min="2" max="2" width="18.07421875" style="1" bestFit="1" customWidth="1"/>
    <col min="3" max="3" width="24.23046875" style="1" customWidth="1"/>
    <col min="4" max="4" width="7.4609375" style="14" customWidth="1"/>
    <col min="5" max="5" width="24.23046875" style="1" customWidth="1"/>
    <col min="6" max="6" width="7.4609375" style="14" customWidth="1"/>
    <col min="7" max="7" width="24.23046875" style="1" customWidth="1"/>
    <col min="8" max="8" width="7.4609375" style="14" customWidth="1"/>
    <col min="9" max="9" width="24.23046875" style="1" customWidth="1"/>
    <col min="10" max="10" width="7.4609375" style="14" customWidth="1"/>
    <col min="11" max="11" width="24.23046875" style="1" customWidth="1"/>
    <col min="12" max="12" width="7.4609375" style="14" customWidth="1"/>
    <col min="13" max="13" width="24.23046875" style="1" customWidth="1"/>
    <col min="14" max="14" width="7.4609375" style="14" customWidth="1"/>
    <col min="15" max="15" width="24.23046875" style="1" customWidth="1"/>
    <col min="16" max="16" width="7.4609375" style="14" customWidth="1"/>
    <col min="17" max="17" width="13.3046875" style="1" customWidth="1"/>
    <col min="18" max="18" width="31.3046875" style="1" customWidth="1"/>
    <col min="19" max="19" width="11.84375" style="1" customWidth="1"/>
    <col min="20" max="20" width="11.3046875" style="1" customWidth="1"/>
    <col min="21" max="16384" width="6.69140625" style="1"/>
  </cols>
  <sheetData>
    <row r="1" spans="1:88" ht="49.75" customHeight="1" x14ac:dyDescent="0.3">
      <c r="R1" s="46"/>
      <c r="S1" s="46"/>
    </row>
    <row r="2" spans="1:88" ht="13.75" customHeight="1" x14ac:dyDescent="0.3">
      <c r="R2" s="46"/>
      <c r="S2" s="46"/>
    </row>
    <row r="3" spans="1:88" ht="19.399999999999999" customHeight="1" x14ac:dyDescent="0.3">
      <c r="B3" s="9"/>
      <c r="R3" s="46"/>
      <c r="S3" s="46"/>
      <c r="BB3" s="9"/>
      <c r="BC3" s="9"/>
      <c r="BD3" s="9"/>
    </row>
    <row r="4" spans="1:88" ht="43.75" customHeight="1" x14ac:dyDescent="0.65">
      <c r="B4" s="172"/>
      <c r="C4" s="172"/>
      <c r="R4" s="46"/>
      <c r="S4" s="46"/>
      <c r="BB4" s="9"/>
      <c r="BC4" s="9"/>
      <c r="BD4" s="9"/>
      <c r="BK4" s="160"/>
      <c r="BL4" s="160"/>
      <c r="BM4" s="160"/>
      <c r="BN4" s="160"/>
      <c r="CG4" s="11"/>
      <c r="CH4" s="13"/>
      <c r="CI4" s="11"/>
    </row>
    <row r="5" spans="1:88" ht="30" customHeight="1" x14ac:dyDescent="0.65">
      <c r="B5" s="172"/>
      <c r="C5" s="172"/>
      <c r="D5" s="15"/>
      <c r="F5" s="15"/>
      <c r="H5" s="15"/>
      <c r="I5" s="9"/>
      <c r="J5" s="15"/>
      <c r="K5" s="9"/>
      <c r="L5" s="15"/>
      <c r="M5" s="9"/>
      <c r="N5" s="15"/>
      <c r="O5" s="9"/>
      <c r="P5" s="15"/>
      <c r="R5" s="44"/>
      <c r="S5" s="44"/>
      <c r="BB5" s="9"/>
      <c r="BC5" s="9"/>
      <c r="BD5" s="9"/>
      <c r="BH5" s="9"/>
      <c r="BI5" s="9"/>
      <c r="BJ5" s="9"/>
      <c r="BK5" s="160"/>
      <c r="BL5" s="160"/>
      <c r="BM5" s="160"/>
      <c r="BN5" s="160"/>
      <c r="BO5" s="9"/>
      <c r="BP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12"/>
      <c r="CH5" s="12"/>
      <c r="CI5" s="12"/>
      <c r="CJ5" s="9"/>
    </row>
    <row r="6" spans="1:88" ht="48.65" customHeight="1" x14ac:dyDescent="0.65">
      <c r="F6" s="16"/>
      <c r="G6" s="173" t="s">
        <v>22</v>
      </c>
      <c r="H6" s="173"/>
      <c r="I6" s="59" t="str">
        <f>UPPER(TEXT(DATE(CalendarYear,1,1)," yyyy"))</f>
        <v xml:space="preserve"> 2021</v>
      </c>
      <c r="J6" s="16"/>
      <c r="K6" s="7"/>
      <c r="L6" s="16"/>
      <c r="N6" s="16"/>
      <c r="R6" s="43"/>
      <c r="S6" s="43"/>
      <c r="BO6" s="7"/>
      <c r="BP6" s="8"/>
      <c r="BR6" s="7"/>
      <c r="BS6" s="8"/>
      <c r="BT6" s="7"/>
      <c r="BU6" s="7"/>
      <c r="BV6" s="8"/>
      <c r="BW6" s="7"/>
      <c r="BX6" s="7"/>
      <c r="BY6" s="8"/>
      <c r="CA6" s="7"/>
      <c r="CB6" s="161"/>
      <c r="CC6" s="161"/>
      <c r="CD6" s="10"/>
      <c r="CE6" s="8"/>
      <c r="CG6" s="11"/>
      <c r="CH6" s="11"/>
      <c r="CI6" s="11"/>
    </row>
    <row r="7" spans="1:88" customFormat="1" ht="26.25" customHeight="1" x14ac:dyDescent="0.3">
      <c r="A7" s="1"/>
      <c r="B7" s="20"/>
      <c r="C7" s="60" t="s">
        <v>7</v>
      </c>
      <c r="D7" s="60"/>
      <c r="E7" s="60" t="s">
        <v>8</v>
      </c>
      <c r="F7" s="60"/>
      <c r="G7" s="60" t="s">
        <v>9</v>
      </c>
      <c r="H7" s="60"/>
      <c r="I7" s="60" t="s">
        <v>10</v>
      </c>
      <c r="J7" s="60"/>
      <c r="K7" s="60" t="s">
        <v>11</v>
      </c>
      <c r="L7" s="60"/>
      <c r="M7" s="60" t="s">
        <v>12</v>
      </c>
      <c r="N7" s="60"/>
      <c r="O7" s="60" t="s">
        <v>13</v>
      </c>
      <c r="P7" s="45"/>
      <c r="Q7" s="1"/>
      <c r="S7" s="1"/>
      <c r="T7" s="6"/>
      <c r="X7" s="1"/>
      <c r="Y7" s="1"/>
    </row>
    <row r="8" spans="1:88" s="51" customFormat="1" ht="18" customHeight="1" x14ac:dyDescent="0.3">
      <c r="B8" s="52"/>
      <c r="C8" s="55" t="str">
        <f>IF(DAY(SepSun1)=1,"",IF(AND(YEAR(SepSun1+1)=CalendarYear,MONTH(SepSun1+1)=9),SepSun1+1,""))</f>
        <v/>
      </c>
      <c r="D8" s="61" t="s">
        <v>29</v>
      </c>
      <c r="E8" s="55" t="str">
        <f>IF(DAY(SepSun1)=1,"",IF(AND(YEAR(SepSun1+2)=CalendarYear,MONTH(SepSun1+2)=9),SepSun1+2,""))</f>
        <v/>
      </c>
      <c r="F8" s="61" t="s">
        <v>29</v>
      </c>
      <c r="G8" s="56">
        <f>IF(DAY(SepSun1)=1,"",IF(AND(YEAR(SepSun1+3)=CalendarYear,MONTH(SepSun1+3)=9),SepSun1+3,""))</f>
        <v>44440</v>
      </c>
      <c r="H8" s="61" t="s">
        <v>29</v>
      </c>
      <c r="I8" s="56">
        <f>IF(DAY(SepSun1)=1,"",IF(AND(YEAR(SepSun1+4)=CalendarYear,MONTH(SepSun1+4)=9),SepSun1+4,""))</f>
        <v>44441</v>
      </c>
      <c r="J8" s="61" t="s">
        <v>29</v>
      </c>
      <c r="K8" s="56">
        <f>IF(DAY(SepSun1)=1,"",IF(AND(YEAR(SepSun1+5)=CalendarYear,MONTH(SepSun1+5)=9),SepSun1+5,""))</f>
        <v>44442</v>
      </c>
      <c r="L8" s="61" t="s">
        <v>29</v>
      </c>
      <c r="M8" s="56">
        <f>IF(DAY(SepSun1)=1,"",IF(AND(YEAR(SepSun1+6)=CalendarYear,MONTH(SepSun1+6)=9),SepSun1+6,""))</f>
        <v>44443</v>
      </c>
      <c r="N8" s="61" t="s">
        <v>29</v>
      </c>
      <c r="O8" s="56">
        <f>IF(DAY(SepSun1)=1,IF(AND(YEAR(SepSun1)=CalendarYear,MONTH(SepSun1)=9),SepSun1,""),IF(AND(YEAR(SepSun1+7)=CalendarYear,MONTH(SepSun1+7)=9),SepSun1+7,""))</f>
        <v>44444</v>
      </c>
      <c r="P8" s="61" t="s">
        <v>29</v>
      </c>
      <c r="Q8" s="47"/>
      <c r="T8" s="53"/>
      <c r="U8" s="54"/>
    </row>
    <row r="9" spans="1:88" s="23" customFormat="1" ht="17.5" customHeight="1" x14ac:dyDescent="0.45">
      <c r="B9" s="50" t="s">
        <v>1</v>
      </c>
      <c r="C9" s="25"/>
      <c r="D9" s="26"/>
      <c r="E9" s="25"/>
      <c r="F9" s="26"/>
      <c r="G9" s="27"/>
      <c r="H9" s="26"/>
      <c r="I9" s="27"/>
      <c r="J9" s="26"/>
      <c r="K9" s="27"/>
      <c r="L9" s="26"/>
      <c r="M9" s="27"/>
      <c r="N9" s="26"/>
      <c r="O9" s="27"/>
      <c r="P9" s="26"/>
      <c r="Q9" s="22"/>
    </row>
    <row r="10" spans="1:88" s="23" customFormat="1" ht="17.5" customHeight="1" x14ac:dyDescent="0.45">
      <c r="B10" s="50" t="s">
        <v>2</v>
      </c>
      <c r="C10" s="28"/>
      <c r="D10" s="29"/>
      <c r="E10" s="28"/>
      <c r="F10" s="29"/>
      <c r="G10" s="30"/>
      <c r="H10" s="29"/>
      <c r="I10" s="30"/>
      <c r="J10" s="29"/>
      <c r="K10" s="30"/>
      <c r="L10" s="29"/>
      <c r="M10" s="30"/>
      <c r="N10" s="29"/>
      <c r="O10" s="30"/>
      <c r="P10" s="29"/>
      <c r="Q10" s="22"/>
    </row>
    <row r="11" spans="1:88" s="23" customFormat="1" ht="17.5" customHeight="1" x14ac:dyDescent="0.45">
      <c r="B11" s="50" t="s">
        <v>3</v>
      </c>
      <c r="C11" s="28"/>
      <c r="D11" s="29"/>
      <c r="E11" s="28"/>
      <c r="F11" s="29"/>
      <c r="G11" s="30"/>
      <c r="H11" s="29"/>
      <c r="I11" s="30"/>
      <c r="J11" s="29"/>
      <c r="K11" s="30"/>
      <c r="L11" s="29"/>
      <c r="M11" s="30"/>
      <c r="N11" s="29"/>
      <c r="O11" s="30"/>
      <c r="P11" s="29"/>
      <c r="Q11" s="22"/>
    </row>
    <row r="12" spans="1:88" s="23" customFormat="1" ht="17.5" customHeight="1" x14ac:dyDescent="0.45">
      <c r="B12" s="50" t="s">
        <v>4</v>
      </c>
      <c r="C12" s="28"/>
      <c r="D12" s="29"/>
      <c r="E12" s="28"/>
      <c r="F12" s="29"/>
      <c r="G12" s="30"/>
      <c r="H12" s="29"/>
      <c r="I12" s="30"/>
      <c r="J12" s="29"/>
      <c r="K12" s="30"/>
      <c r="L12" s="29"/>
      <c r="M12" s="30"/>
      <c r="N12" s="29"/>
      <c r="O12" s="30"/>
      <c r="P12" s="29"/>
      <c r="Q12" s="22"/>
    </row>
    <row r="13" spans="1:88" s="23" customFormat="1" ht="17.5" customHeight="1" x14ac:dyDescent="0.45">
      <c r="B13" s="50" t="s">
        <v>2</v>
      </c>
      <c r="C13" s="28"/>
      <c r="D13" s="29"/>
      <c r="E13" s="28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22"/>
    </row>
    <row r="14" spans="1:88" s="23" customFormat="1" ht="17.5" customHeight="1" x14ac:dyDescent="0.45">
      <c r="B14" s="50"/>
      <c r="C14" s="28"/>
      <c r="D14" s="29"/>
      <c r="E14" s="28"/>
      <c r="F14" s="29"/>
      <c r="G14" s="30"/>
      <c r="H14" s="29"/>
      <c r="I14" s="30"/>
      <c r="J14" s="29"/>
      <c r="K14" s="30"/>
      <c r="L14" s="29"/>
      <c r="M14" s="30"/>
      <c r="N14" s="29"/>
      <c r="O14" s="30"/>
      <c r="P14" s="29"/>
      <c r="Q14" s="22"/>
    </row>
    <row r="15" spans="1:88" s="23" customFormat="1" ht="17.5" customHeight="1" x14ac:dyDescent="0.45">
      <c r="B15" s="50" t="s">
        <v>6</v>
      </c>
      <c r="C15" s="28"/>
      <c r="D15" s="29"/>
      <c r="E15" s="28"/>
      <c r="F15" s="29"/>
      <c r="G15" s="30"/>
      <c r="H15" s="29"/>
      <c r="I15" s="30"/>
      <c r="J15" s="29"/>
      <c r="K15" s="30"/>
      <c r="L15" s="29"/>
      <c r="M15" s="30"/>
      <c r="N15" s="29"/>
      <c r="O15" s="30"/>
      <c r="P15" s="29"/>
      <c r="Q15" s="22"/>
    </row>
    <row r="16" spans="1:88" s="23" customFormat="1" ht="17.5" customHeight="1" x14ac:dyDescent="0.45">
      <c r="B16" s="50"/>
      <c r="C16" s="28"/>
      <c r="D16" s="29"/>
      <c r="E16" s="28"/>
      <c r="F16" s="29"/>
      <c r="G16" s="30"/>
      <c r="H16" s="29"/>
      <c r="I16" s="30"/>
      <c r="J16" s="29"/>
      <c r="K16" s="30"/>
      <c r="L16" s="29"/>
      <c r="M16" s="30"/>
      <c r="N16" s="29"/>
      <c r="O16" s="30"/>
      <c r="P16" s="29"/>
      <c r="Q16" s="22"/>
    </row>
    <row r="17" spans="2:21" s="23" customFormat="1" ht="17.5" customHeight="1" x14ac:dyDescent="0.35">
      <c r="B17" s="48"/>
      <c r="C17" s="28"/>
      <c r="D17" s="29"/>
      <c r="E17" s="28"/>
      <c r="F17" s="29"/>
      <c r="G17" s="30"/>
      <c r="H17" s="29"/>
      <c r="I17" s="30"/>
      <c r="J17" s="29"/>
      <c r="K17" s="30"/>
      <c r="L17" s="29"/>
      <c r="M17" s="30"/>
      <c r="N17" s="29"/>
      <c r="O17" s="30"/>
      <c r="P17" s="29"/>
      <c r="Q17" s="22"/>
    </row>
    <row r="18" spans="2:21" s="23" customFormat="1" ht="17.5" customHeight="1" x14ac:dyDescent="0.35">
      <c r="B18" s="48"/>
      <c r="C18" s="28"/>
      <c r="D18" s="29"/>
      <c r="E18" s="28"/>
      <c r="F18" s="29"/>
      <c r="G18" s="30"/>
      <c r="H18" s="29"/>
      <c r="I18" s="30"/>
      <c r="J18" s="29"/>
      <c r="K18" s="30"/>
      <c r="L18" s="29"/>
      <c r="M18" s="30"/>
      <c r="N18" s="29"/>
      <c r="O18" s="30"/>
      <c r="P18" s="29"/>
      <c r="Q18" s="22"/>
    </row>
    <row r="19" spans="2:21" s="23" customFormat="1" ht="17.5" customHeight="1" x14ac:dyDescent="0.35">
      <c r="B19" s="48"/>
      <c r="C19" s="28"/>
      <c r="D19" s="29"/>
      <c r="E19" s="28"/>
      <c r="F19" s="29"/>
      <c r="G19" s="30"/>
      <c r="H19" s="29"/>
      <c r="I19" s="30"/>
      <c r="J19" s="29"/>
      <c r="K19" s="30"/>
      <c r="L19" s="29"/>
      <c r="M19" s="30"/>
      <c r="N19" s="29"/>
      <c r="O19" s="30"/>
      <c r="P19" s="29"/>
      <c r="Q19" s="22"/>
    </row>
    <row r="20" spans="2:21" s="23" customFormat="1" ht="17.5" customHeight="1" x14ac:dyDescent="0.35">
      <c r="B20" s="49"/>
      <c r="C20" s="31" t="s">
        <v>5</v>
      </c>
      <c r="D20" s="32"/>
      <c r="E20" s="31" t="s">
        <v>5</v>
      </c>
      <c r="F20" s="32"/>
      <c r="G20" s="33" t="s">
        <v>5</v>
      </c>
      <c r="H20" s="32"/>
      <c r="I20" s="33" t="s">
        <v>5</v>
      </c>
      <c r="J20" s="32"/>
      <c r="K20" s="33" t="s">
        <v>5</v>
      </c>
      <c r="L20" s="32"/>
      <c r="M20" s="33" t="s">
        <v>5</v>
      </c>
      <c r="N20" s="32"/>
      <c r="O20" s="33" t="s">
        <v>5</v>
      </c>
      <c r="P20" s="32"/>
      <c r="Q20" s="22"/>
    </row>
    <row r="21" spans="2:21" s="51" customFormat="1" ht="18" customHeight="1" x14ac:dyDescent="0.3">
      <c r="B21" s="52"/>
      <c r="C21" s="55">
        <f>IF(DAY(SepSun1)=1,IF(AND(YEAR(SepSun1+1)=CalendarYear,MONTH(SepSun1+1)=9),SepSun1+1,""),IF(AND(YEAR(SepSun1+8)=CalendarYear,MONTH(SepSun1+8)=9),SepSun1+8,""))</f>
        <v>44445</v>
      </c>
      <c r="D21" s="61" t="s">
        <v>29</v>
      </c>
      <c r="E21" s="55">
        <f>IF(DAY(SepSun1)=1,IF(AND(YEAR(SepSun1+2)=CalendarYear,MONTH(SepSun1+2)=9),SepSun1+2,""),IF(AND(YEAR(SepSun1+9)=CalendarYear,MONTH(SepSun1+9)=9),SepSun1+9,""))</f>
        <v>44446</v>
      </c>
      <c r="F21" s="61" t="s">
        <v>29</v>
      </c>
      <c r="G21" s="56">
        <f>IF(DAY(SepSun1)=1,IF(AND(YEAR(SepSun1+3)=CalendarYear,MONTH(SepSun1+3)=9),SepSun1+3,""),IF(AND(YEAR(SepSun1+10)=CalendarYear,MONTH(SepSun1+10)=9),SepSun1+10,""))</f>
        <v>44447</v>
      </c>
      <c r="H21" s="61" t="s">
        <v>29</v>
      </c>
      <c r="I21" s="56">
        <f>IF(DAY(SepSun1)=1,IF(AND(YEAR(SepSun1+4)=CalendarYear,MONTH(SepSun1+4)=9),SepSun1+4,""),IF(AND(YEAR(SepSun1+11)=CalendarYear,MONTH(SepSun1+11)=9),SepSun1+11,""))</f>
        <v>44448</v>
      </c>
      <c r="J21" s="61" t="s">
        <v>29</v>
      </c>
      <c r="K21" s="56">
        <f>IF(DAY(SepSun1)=1,IF(AND(YEAR(SepSun1+5)=CalendarYear,MONTH(SepSun1+5)=9),SepSun1+5,""),IF(AND(YEAR(SepSun1+12)=CalendarYear,MONTH(SepSun1+12)=9),SepSun1+12,""))</f>
        <v>44449</v>
      </c>
      <c r="L21" s="61" t="s">
        <v>29</v>
      </c>
      <c r="M21" s="56">
        <f>IF(DAY(SepSun1)=1,IF(AND(YEAR(SepSun1+6)=CalendarYear,MONTH(SepSun1+6)=9),SepSun1+6,""),IF(AND(YEAR(SepSun1+13)=CalendarYear,MONTH(SepSun1+13)=9),SepSun1+13,""))</f>
        <v>44450</v>
      </c>
      <c r="N21" s="61" t="s">
        <v>29</v>
      </c>
      <c r="O21" s="56">
        <f>IF(DAY(SepSun1)=1,IF(AND(YEAR(SepSun1+7)=CalendarYear,MONTH(SepSun1+7)=9),SepSun1+7,""),IF(AND(YEAR(SepSun1+14)=CalendarYear,MONTH(SepSun1+14)=9),SepSun1+14,""))</f>
        <v>44451</v>
      </c>
      <c r="P21" s="61" t="s">
        <v>29</v>
      </c>
      <c r="Q21" s="47"/>
      <c r="T21" s="53"/>
      <c r="U21" s="54"/>
    </row>
    <row r="22" spans="2:21" s="23" customFormat="1" ht="17.5" customHeight="1" x14ac:dyDescent="0.45">
      <c r="B22" s="50" t="s">
        <v>1</v>
      </c>
      <c r="C22" s="34"/>
      <c r="D22" s="35"/>
      <c r="E22" s="34"/>
      <c r="F22" s="35"/>
      <c r="G22" s="36"/>
      <c r="H22" s="35"/>
      <c r="I22" s="36"/>
      <c r="J22" s="35"/>
      <c r="K22" s="36"/>
      <c r="L22" s="35"/>
      <c r="M22" s="36"/>
      <c r="N22" s="35"/>
      <c r="O22" s="36"/>
      <c r="P22" s="35"/>
      <c r="Q22" s="22"/>
    </row>
    <row r="23" spans="2:21" s="23" customFormat="1" ht="17.5" customHeight="1" x14ac:dyDescent="0.45">
      <c r="B23" s="50" t="s">
        <v>2</v>
      </c>
      <c r="C23" s="37"/>
      <c r="D23" s="38"/>
      <c r="E23" s="37"/>
      <c r="F23" s="38"/>
      <c r="G23" s="39"/>
      <c r="H23" s="38"/>
      <c r="I23" s="39"/>
      <c r="J23" s="38"/>
      <c r="K23" s="39"/>
      <c r="L23" s="38"/>
      <c r="M23" s="39"/>
      <c r="N23" s="38"/>
      <c r="O23" s="39"/>
      <c r="P23" s="38"/>
      <c r="Q23" s="22"/>
    </row>
    <row r="24" spans="2:21" s="23" customFormat="1" ht="17.5" customHeight="1" x14ac:dyDescent="0.45">
      <c r="B24" s="50" t="s">
        <v>3</v>
      </c>
      <c r="C24" s="37"/>
      <c r="D24" s="38"/>
      <c r="E24" s="37"/>
      <c r="F24" s="38"/>
      <c r="G24" s="39"/>
      <c r="H24" s="38"/>
      <c r="I24" s="39"/>
      <c r="J24" s="38"/>
      <c r="K24" s="39"/>
      <c r="L24" s="38"/>
      <c r="M24" s="39"/>
      <c r="N24" s="38"/>
      <c r="O24" s="39"/>
      <c r="P24" s="38"/>
      <c r="Q24" s="22"/>
    </row>
    <row r="25" spans="2:21" s="23" customFormat="1" ht="17.5" customHeight="1" x14ac:dyDescent="0.45">
      <c r="B25" s="50" t="s">
        <v>4</v>
      </c>
      <c r="C25" s="37"/>
      <c r="D25" s="38"/>
      <c r="E25" s="37"/>
      <c r="F25" s="38"/>
      <c r="G25" s="39"/>
      <c r="H25" s="38"/>
      <c r="I25" s="39"/>
      <c r="J25" s="38"/>
      <c r="K25" s="39"/>
      <c r="L25" s="38"/>
      <c r="M25" s="39"/>
      <c r="N25" s="38"/>
      <c r="O25" s="39"/>
      <c r="P25" s="38"/>
      <c r="Q25" s="22"/>
    </row>
    <row r="26" spans="2:21" s="23" customFormat="1" ht="17.5" customHeight="1" x14ac:dyDescent="0.45">
      <c r="B26" s="50" t="s">
        <v>2</v>
      </c>
      <c r="C26" s="37"/>
      <c r="D26" s="38"/>
      <c r="E26" s="37"/>
      <c r="F26" s="38"/>
      <c r="G26" s="39"/>
      <c r="H26" s="38"/>
      <c r="I26" s="39"/>
      <c r="J26" s="38"/>
      <c r="K26" s="39"/>
      <c r="L26" s="38"/>
      <c r="M26" s="39"/>
      <c r="N26" s="38"/>
      <c r="O26" s="39"/>
      <c r="P26" s="38"/>
      <c r="Q26" s="22"/>
    </row>
    <row r="27" spans="2:21" s="23" customFormat="1" ht="17.5" customHeight="1" x14ac:dyDescent="0.45">
      <c r="B27" s="50"/>
      <c r="C27" s="37"/>
      <c r="D27" s="38"/>
      <c r="E27" s="37"/>
      <c r="F27" s="38"/>
      <c r="G27" s="39"/>
      <c r="H27" s="38"/>
      <c r="I27" s="39"/>
      <c r="J27" s="38"/>
      <c r="K27" s="39"/>
      <c r="L27" s="38"/>
      <c r="M27" s="39"/>
      <c r="N27" s="38"/>
      <c r="O27" s="39"/>
      <c r="P27" s="38"/>
      <c r="Q27" s="22"/>
    </row>
    <row r="28" spans="2:21" s="23" customFormat="1" ht="17.5" customHeight="1" x14ac:dyDescent="0.45">
      <c r="B28" s="50" t="s">
        <v>6</v>
      </c>
      <c r="C28" s="37"/>
      <c r="D28" s="38"/>
      <c r="E28" s="37"/>
      <c r="F28" s="38"/>
      <c r="G28" s="39"/>
      <c r="H28" s="38"/>
      <c r="I28" s="39"/>
      <c r="J28" s="38"/>
      <c r="K28" s="39"/>
      <c r="L28" s="38"/>
      <c r="M28" s="39"/>
      <c r="N28" s="38"/>
      <c r="O28" s="39"/>
      <c r="P28" s="38"/>
      <c r="Q28" s="22"/>
    </row>
    <row r="29" spans="2:21" s="23" customFormat="1" ht="17.5" customHeight="1" x14ac:dyDescent="0.35">
      <c r="B29" s="48"/>
      <c r="C29" s="37"/>
      <c r="D29" s="38"/>
      <c r="E29" s="37"/>
      <c r="F29" s="38"/>
      <c r="G29" s="39"/>
      <c r="H29" s="38"/>
      <c r="I29" s="39"/>
      <c r="J29" s="38"/>
      <c r="K29" s="39"/>
      <c r="L29" s="38"/>
      <c r="M29" s="39"/>
      <c r="N29" s="38"/>
      <c r="O29" s="39"/>
      <c r="P29" s="38"/>
      <c r="Q29" s="22"/>
    </row>
    <row r="30" spans="2:21" s="23" customFormat="1" ht="17.5" customHeight="1" x14ac:dyDescent="0.35">
      <c r="B30" s="48"/>
      <c r="C30" s="37"/>
      <c r="D30" s="38"/>
      <c r="E30" s="37"/>
      <c r="F30" s="38"/>
      <c r="G30" s="39"/>
      <c r="H30" s="38"/>
      <c r="I30" s="39"/>
      <c r="J30" s="38"/>
      <c r="K30" s="39"/>
      <c r="L30" s="38"/>
      <c r="M30" s="39"/>
      <c r="N30" s="38"/>
      <c r="O30" s="39"/>
      <c r="P30" s="38"/>
      <c r="Q30" s="22"/>
    </row>
    <row r="31" spans="2:21" s="23" customFormat="1" ht="17.5" customHeight="1" x14ac:dyDescent="0.35">
      <c r="B31" s="48"/>
      <c r="C31" s="37"/>
      <c r="D31" s="38"/>
      <c r="E31" s="37"/>
      <c r="F31" s="38"/>
      <c r="G31" s="39"/>
      <c r="H31" s="38"/>
      <c r="I31" s="39"/>
      <c r="J31" s="38"/>
      <c r="K31" s="39"/>
      <c r="L31" s="38"/>
      <c r="M31" s="39"/>
      <c r="N31" s="38"/>
      <c r="O31" s="39"/>
      <c r="P31" s="38"/>
      <c r="Q31" s="22"/>
    </row>
    <row r="32" spans="2:21" s="23" customFormat="1" ht="17.5" customHeight="1" x14ac:dyDescent="0.35">
      <c r="B32" s="48"/>
      <c r="C32" s="37"/>
      <c r="D32" s="38"/>
      <c r="E32" s="37"/>
      <c r="F32" s="38"/>
      <c r="G32" s="39"/>
      <c r="H32" s="38"/>
      <c r="I32" s="39"/>
      <c r="J32" s="38"/>
      <c r="K32" s="39"/>
      <c r="L32" s="38"/>
      <c r="M32" s="39"/>
      <c r="N32" s="38"/>
      <c r="O32" s="39"/>
      <c r="P32" s="38"/>
      <c r="Q32" s="22"/>
    </row>
    <row r="33" spans="2:21" s="23" customFormat="1" ht="17.5" customHeight="1" x14ac:dyDescent="0.35">
      <c r="B33" s="49"/>
      <c r="C33" s="40" t="s">
        <v>5</v>
      </c>
      <c r="D33" s="41"/>
      <c r="E33" s="40" t="s">
        <v>5</v>
      </c>
      <c r="F33" s="41"/>
      <c r="G33" s="42" t="s">
        <v>5</v>
      </c>
      <c r="H33" s="41"/>
      <c r="I33" s="42" t="s">
        <v>5</v>
      </c>
      <c r="J33" s="41"/>
      <c r="K33" s="42" t="s">
        <v>5</v>
      </c>
      <c r="L33" s="41"/>
      <c r="M33" s="42" t="s">
        <v>5</v>
      </c>
      <c r="N33" s="41"/>
      <c r="O33" s="42" t="s">
        <v>5</v>
      </c>
      <c r="P33" s="41"/>
      <c r="Q33" s="22"/>
    </row>
    <row r="34" spans="2:21" s="51" customFormat="1" ht="18" customHeight="1" x14ac:dyDescent="0.3">
      <c r="B34" s="52"/>
      <c r="C34" s="55">
        <f>IF(DAY(SepSun1)=1,IF(AND(YEAR(SepSun1+8)=CalendarYear,MONTH(SepSun1+8)=9),SepSun1+8,""),IF(AND(YEAR(SepSun1+15)=CalendarYear,MONTH(SepSun1+15)=9),SepSun1+15,""))</f>
        <v>44452</v>
      </c>
      <c r="D34" s="61" t="s">
        <v>29</v>
      </c>
      <c r="E34" s="55">
        <f>IF(DAY(SepSun1)=1,IF(AND(YEAR(SepSun1+9)=CalendarYear,MONTH(SepSun1+9)=9),SepSun1+9,""),IF(AND(YEAR(SepSun1+16)=CalendarYear,MONTH(SepSun1+16)=9),SepSun1+16,""))</f>
        <v>44453</v>
      </c>
      <c r="F34" s="61" t="s">
        <v>29</v>
      </c>
      <c r="G34" s="56">
        <f>IF(DAY(SepSun1)=1,IF(AND(YEAR(SepSun1+10)=CalendarYear,MONTH(SepSun1+10)=9),SepSun1+10,""),IF(AND(YEAR(SepSun1+17)=CalendarYear,MONTH(SepSun1+17)=9),SepSun1+17,""))</f>
        <v>44454</v>
      </c>
      <c r="H34" s="61" t="s">
        <v>29</v>
      </c>
      <c r="I34" s="56">
        <f>IF(DAY(SepSun1)=1,IF(AND(YEAR(SepSun1+11)=CalendarYear,MONTH(SepSun1+11)=9),SepSun1+11,""),IF(AND(YEAR(SepSun1+18)=CalendarYear,MONTH(SepSun1+18)=9),SepSun1+18,""))</f>
        <v>44455</v>
      </c>
      <c r="J34" s="61" t="s">
        <v>29</v>
      </c>
      <c r="K34" s="56">
        <f>IF(DAY(SepSun1)=1,IF(AND(YEAR(SepSun1+12)=CalendarYear,MONTH(SepSun1+12)=9),SepSun1+12,""),IF(AND(YEAR(SepSun1+19)=CalendarYear,MONTH(SepSun1+19)=9),SepSun1+19,""))</f>
        <v>44456</v>
      </c>
      <c r="L34" s="61" t="s">
        <v>29</v>
      </c>
      <c r="M34" s="56">
        <f>IF(DAY(SepSun1)=1,IF(AND(YEAR(SepSun1+13)=CalendarYear,MONTH(SepSun1+13)=9),SepSun1+13,""),IF(AND(YEAR(SepSun1+20)=CalendarYear,MONTH(SepSun1+20)=9),SepSun1+20,""))</f>
        <v>44457</v>
      </c>
      <c r="N34" s="61" t="s">
        <v>29</v>
      </c>
      <c r="O34" s="56">
        <f>IF(DAY(SepSun1)=1,IF(AND(YEAR(SepSun1+14)=CalendarYear,MONTH(SepSun1+14)=9),SepSun1+14,""),IF(AND(YEAR(SepSun1+21)=CalendarYear,MONTH(SepSun1+21)=9),SepSun1+21,""))</f>
        <v>44458</v>
      </c>
      <c r="P34" s="61" t="s">
        <v>29</v>
      </c>
      <c r="Q34" s="47"/>
      <c r="T34" s="53"/>
      <c r="U34" s="54"/>
    </row>
    <row r="35" spans="2:21" s="23" customFormat="1" ht="17.5" customHeight="1" x14ac:dyDescent="0.45">
      <c r="B35" s="50" t="s">
        <v>1</v>
      </c>
      <c r="C35" s="25"/>
      <c r="D35" s="26"/>
      <c r="E35" s="25"/>
      <c r="F35" s="26"/>
      <c r="G35" s="27"/>
      <c r="H35" s="26"/>
      <c r="I35" s="27"/>
      <c r="J35" s="26"/>
      <c r="K35" s="27"/>
      <c r="L35" s="26"/>
      <c r="M35" s="27"/>
      <c r="N35" s="26"/>
      <c r="O35" s="27"/>
      <c r="P35" s="26"/>
      <c r="Q35" s="22"/>
    </row>
    <row r="36" spans="2:21" s="23" customFormat="1" ht="17.5" customHeight="1" x14ac:dyDescent="0.45">
      <c r="B36" s="50" t="s">
        <v>2</v>
      </c>
      <c r="C36" s="28"/>
      <c r="D36" s="29"/>
      <c r="E36" s="28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22"/>
    </row>
    <row r="37" spans="2:21" s="23" customFormat="1" ht="17.5" customHeight="1" x14ac:dyDescent="0.45">
      <c r="B37" s="50" t="s">
        <v>3</v>
      </c>
      <c r="C37" s="28"/>
      <c r="D37" s="29"/>
      <c r="E37" s="28"/>
      <c r="F37" s="29"/>
      <c r="G37" s="30"/>
      <c r="H37" s="29"/>
      <c r="I37" s="30"/>
      <c r="J37" s="29"/>
      <c r="K37" s="30"/>
      <c r="L37" s="29"/>
      <c r="M37" s="30"/>
      <c r="N37" s="29"/>
      <c r="O37" s="30"/>
      <c r="P37" s="29"/>
      <c r="Q37" s="22"/>
    </row>
    <row r="38" spans="2:21" s="23" customFormat="1" ht="17.5" customHeight="1" x14ac:dyDescent="0.45">
      <c r="B38" s="50" t="s">
        <v>4</v>
      </c>
      <c r="C38" s="28"/>
      <c r="D38" s="29"/>
      <c r="E38" s="28"/>
      <c r="F38" s="29"/>
      <c r="G38" s="30"/>
      <c r="H38" s="29"/>
      <c r="I38" s="30"/>
      <c r="J38" s="29"/>
      <c r="K38" s="30"/>
      <c r="L38" s="29"/>
      <c r="M38" s="30"/>
      <c r="N38" s="29"/>
      <c r="O38" s="30"/>
      <c r="P38" s="29"/>
      <c r="Q38" s="22"/>
    </row>
    <row r="39" spans="2:21" s="23" customFormat="1" ht="17.5" customHeight="1" x14ac:dyDescent="0.45">
      <c r="B39" s="50" t="s">
        <v>2</v>
      </c>
      <c r="C39" s="28"/>
      <c r="D39" s="29"/>
      <c r="E39" s="28"/>
      <c r="F39" s="29"/>
      <c r="G39" s="30"/>
      <c r="H39" s="29"/>
      <c r="I39" s="30"/>
      <c r="J39" s="29"/>
      <c r="K39" s="30"/>
      <c r="L39" s="29"/>
      <c r="M39" s="30"/>
      <c r="N39" s="29"/>
      <c r="O39" s="30"/>
      <c r="P39" s="29"/>
      <c r="Q39" s="22"/>
    </row>
    <row r="40" spans="2:21" s="23" customFormat="1" ht="17.5" customHeight="1" x14ac:dyDescent="0.45">
      <c r="B40" s="50"/>
      <c r="C40" s="28"/>
      <c r="D40" s="29"/>
      <c r="E40" s="28"/>
      <c r="F40" s="29"/>
      <c r="G40" s="30"/>
      <c r="H40" s="29"/>
      <c r="I40" s="30"/>
      <c r="J40" s="29"/>
      <c r="K40" s="30"/>
      <c r="L40" s="29"/>
      <c r="M40" s="30"/>
      <c r="N40" s="29"/>
      <c r="O40" s="30"/>
      <c r="P40" s="29"/>
      <c r="Q40" s="22"/>
    </row>
    <row r="41" spans="2:21" s="23" customFormat="1" ht="17.5" customHeight="1" x14ac:dyDescent="0.45">
      <c r="B41" s="50" t="s">
        <v>6</v>
      </c>
      <c r="C41" s="28"/>
      <c r="D41" s="29"/>
      <c r="E41" s="28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22"/>
    </row>
    <row r="42" spans="2:21" s="23" customFormat="1" ht="17.5" customHeight="1" x14ac:dyDescent="0.35">
      <c r="B42" s="48"/>
      <c r="C42" s="28"/>
      <c r="D42" s="29"/>
      <c r="E42" s="28"/>
      <c r="F42" s="29"/>
      <c r="G42" s="30"/>
      <c r="H42" s="29"/>
      <c r="I42" s="30"/>
      <c r="J42" s="29"/>
      <c r="K42" s="30"/>
      <c r="L42" s="29"/>
      <c r="M42" s="30"/>
      <c r="N42" s="29"/>
      <c r="O42" s="30"/>
      <c r="P42" s="29"/>
      <c r="Q42" s="22"/>
    </row>
    <row r="43" spans="2:21" s="23" customFormat="1" ht="17.5" customHeight="1" x14ac:dyDescent="0.35">
      <c r="B43" s="48"/>
      <c r="C43" s="28"/>
      <c r="D43" s="29"/>
      <c r="E43" s="28"/>
      <c r="F43" s="29"/>
      <c r="G43" s="30"/>
      <c r="H43" s="29"/>
      <c r="I43" s="30"/>
      <c r="J43" s="29"/>
      <c r="K43" s="30"/>
      <c r="L43" s="29"/>
      <c r="M43" s="30"/>
      <c r="N43" s="29"/>
      <c r="O43" s="30"/>
      <c r="P43" s="29"/>
      <c r="Q43" s="22"/>
    </row>
    <row r="44" spans="2:21" s="23" customFormat="1" ht="17.5" customHeight="1" x14ac:dyDescent="0.35">
      <c r="B44" s="48"/>
      <c r="C44" s="28"/>
      <c r="D44" s="29"/>
      <c r="E44" s="28"/>
      <c r="F44" s="29"/>
      <c r="G44" s="30"/>
      <c r="H44" s="29"/>
      <c r="I44" s="30"/>
      <c r="J44" s="29"/>
      <c r="K44" s="30"/>
      <c r="L44" s="29"/>
      <c r="M44" s="30"/>
      <c r="N44" s="29"/>
      <c r="O44" s="30"/>
      <c r="P44" s="29"/>
      <c r="Q44" s="22"/>
    </row>
    <row r="45" spans="2:21" s="23" customFormat="1" ht="17.5" customHeight="1" x14ac:dyDescent="0.35">
      <c r="B45" s="48"/>
      <c r="C45" s="28"/>
      <c r="D45" s="29"/>
      <c r="E45" s="28"/>
      <c r="F45" s="29"/>
      <c r="G45" s="30"/>
      <c r="H45" s="29"/>
      <c r="I45" s="30"/>
      <c r="J45" s="29"/>
      <c r="K45" s="30"/>
      <c r="L45" s="29"/>
      <c r="M45" s="30"/>
      <c r="N45" s="29"/>
      <c r="O45" s="30"/>
      <c r="P45" s="29"/>
      <c r="Q45" s="22"/>
    </row>
    <row r="46" spans="2:21" s="23" customFormat="1" ht="17.5" customHeight="1" x14ac:dyDescent="0.35">
      <c r="B46" s="49"/>
      <c r="C46" s="31" t="s">
        <v>5</v>
      </c>
      <c r="D46" s="32"/>
      <c r="E46" s="31" t="s">
        <v>5</v>
      </c>
      <c r="F46" s="32"/>
      <c r="G46" s="33" t="s">
        <v>5</v>
      </c>
      <c r="H46" s="32"/>
      <c r="I46" s="33" t="s">
        <v>5</v>
      </c>
      <c r="J46" s="32"/>
      <c r="K46" s="33" t="s">
        <v>5</v>
      </c>
      <c r="L46" s="32"/>
      <c r="M46" s="33" t="s">
        <v>5</v>
      </c>
      <c r="N46" s="32"/>
      <c r="O46" s="33" t="s">
        <v>5</v>
      </c>
      <c r="P46" s="32"/>
      <c r="Q46" s="22"/>
    </row>
    <row r="47" spans="2:21" s="51" customFormat="1" ht="18" customHeight="1" x14ac:dyDescent="0.3">
      <c r="B47" s="52"/>
      <c r="C47" s="55">
        <f>IF(DAY(SepSun1)=1,IF(AND(YEAR(SepSun1+15)=CalendarYear,MONTH(SepSun1+15)=9),SepSun1+15,""),IF(AND(YEAR(SepSun1+22)=CalendarYear,MONTH(SepSun1+22)=9),SepSun1+22,""))</f>
        <v>44459</v>
      </c>
      <c r="D47" s="61" t="s">
        <v>29</v>
      </c>
      <c r="E47" s="55">
        <f>IF(DAY(SepSun1)=1,IF(AND(YEAR(SepSun1+16)=CalendarYear,MONTH(SepSun1+16)=9),SepSun1+16,""),IF(AND(YEAR(SepSun1+23)=CalendarYear,MONTH(SepSun1+23)=9),SepSun1+23,""))</f>
        <v>44460</v>
      </c>
      <c r="F47" s="61" t="s">
        <v>29</v>
      </c>
      <c r="G47" s="56">
        <f>IF(DAY(SepSun1)=1,IF(AND(YEAR(SepSun1+17)=CalendarYear,MONTH(SepSun1+17)=9),SepSun1+17,""),IF(AND(YEAR(SepSun1+24)=CalendarYear,MONTH(SepSun1+24)=9),SepSun1+24,""))</f>
        <v>44461</v>
      </c>
      <c r="H47" s="61" t="s">
        <v>29</v>
      </c>
      <c r="I47" s="56">
        <f>IF(DAY(SepSun1)=1,IF(AND(YEAR(SepSun1+18)=CalendarYear,MONTH(SepSun1+18)=9),SepSun1+18,""),IF(AND(YEAR(SepSun1+25)=CalendarYear,MONTH(SepSun1+25)=9),SepSun1+25,""))</f>
        <v>44462</v>
      </c>
      <c r="J47" s="61" t="s">
        <v>29</v>
      </c>
      <c r="K47" s="56">
        <f>IF(DAY(SepSun1)=1,IF(AND(YEAR(SepSun1+19)=CalendarYear,MONTH(SepSun1+19)=9),SepSun1+19,""),IF(AND(YEAR(SepSun1+26)=CalendarYear,MONTH(SepSun1+26)=9),SepSun1+26,""))</f>
        <v>44463</v>
      </c>
      <c r="L47" s="61" t="s">
        <v>29</v>
      </c>
      <c r="M47" s="56">
        <f>IF(DAY(SepSun1)=1,IF(AND(YEAR(SepSun1+20)=CalendarYear,MONTH(SepSun1+20)=9),SepSun1+20,""),IF(AND(YEAR(SepSun1+27)=CalendarYear,MONTH(SepSun1+27)=9),SepSun1+27,""))</f>
        <v>44464</v>
      </c>
      <c r="N47" s="61" t="s">
        <v>29</v>
      </c>
      <c r="O47" s="56">
        <f>IF(DAY(SepSun1)=1,IF(AND(YEAR(SepSun1+21)=CalendarYear,MONTH(SepSun1+21)=9),SepSun1+21,""),IF(AND(YEAR(SepSun1+28)=CalendarYear,MONTH(SepSun1+28)=9),SepSun1+28,""))</f>
        <v>44465</v>
      </c>
      <c r="P47" s="61" t="s">
        <v>29</v>
      </c>
      <c r="Q47" s="47"/>
      <c r="T47" s="53"/>
      <c r="U47" s="54"/>
    </row>
    <row r="48" spans="2:21" s="23" customFormat="1" ht="17.5" customHeight="1" x14ac:dyDescent="0.45">
      <c r="B48" s="50" t="s">
        <v>1</v>
      </c>
      <c r="C48" s="34"/>
      <c r="D48" s="35"/>
      <c r="E48" s="34"/>
      <c r="F48" s="35"/>
      <c r="G48" s="36"/>
      <c r="H48" s="35"/>
      <c r="I48" s="36"/>
      <c r="J48" s="35"/>
      <c r="K48" s="36"/>
      <c r="L48" s="35"/>
      <c r="M48" s="36"/>
      <c r="N48" s="35"/>
      <c r="O48" s="36"/>
      <c r="P48" s="35"/>
      <c r="Q48" s="22"/>
    </row>
    <row r="49" spans="2:21" s="23" customFormat="1" ht="17.5" customHeight="1" x14ac:dyDescent="0.45">
      <c r="B49" s="50" t="s">
        <v>2</v>
      </c>
      <c r="C49" s="37"/>
      <c r="D49" s="38"/>
      <c r="E49" s="37"/>
      <c r="F49" s="38"/>
      <c r="G49" s="39"/>
      <c r="H49" s="38"/>
      <c r="I49" s="39"/>
      <c r="J49" s="38"/>
      <c r="K49" s="39"/>
      <c r="L49" s="38"/>
      <c r="M49" s="39"/>
      <c r="N49" s="38"/>
      <c r="O49" s="39"/>
      <c r="P49" s="38"/>
      <c r="Q49" s="22"/>
    </row>
    <row r="50" spans="2:21" s="23" customFormat="1" ht="17.5" customHeight="1" x14ac:dyDescent="0.45">
      <c r="B50" s="50" t="s">
        <v>3</v>
      </c>
      <c r="C50" s="37"/>
      <c r="D50" s="38"/>
      <c r="E50" s="37"/>
      <c r="F50" s="38"/>
      <c r="G50" s="39"/>
      <c r="H50" s="38"/>
      <c r="I50" s="39"/>
      <c r="J50" s="38"/>
      <c r="K50" s="39"/>
      <c r="L50" s="38"/>
      <c r="M50" s="39"/>
      <c r="N50" s="38"/>
      <c r="O50" s="39"/>
      <c r="P50" s="38"/>
      <c r="Q50" s="22"/>
    </row>
    <row r="51" spans="2:21" s="23" customFormat="1" ht="17.5" customHeight="1" x14ac:dyDescent="0.45">
      <c r="B51" s="50" t="s">
        <v>4</v>
      </c>
      <c r="C51" s="37"/>
      <c r="D51" s="38"/>
      <c r="E51" s="37"/>
      <c r="F51" s="38"/>
      <c r="G51" s="39"/>
      <c r="H51" s="38"/>
      <c r="I51" s="39"/>
      <c r="J51" s="38"/>
      <c r="K51" s="39"/>
      <c r="L51" s="38"/>
      <c r="M51" s="39"/>
      <c r="N51" s="38"/>
      <c r="O51" s="39"/>
      <c r="P51" s="38"/>
      <c r="Q51" s="22"/>
    </row>
    <row r="52" spans="2:21" s="23" customFormat="1" ht="17.5" customHeight="1" x14ac:dyDescent="0.45">
      <c r="B52" s="50" t="s">
        <v>2</v>
      </c>
      <c r="C52" s="37"/>
      <c r="D52" s="38"/>
      <c r="E52" s="37"/>
      <c r="F52" s="38"/>
      <c r="G52" s="39"/>
      <c r="H52" s="38"/>
      <c r="I52" s="39"/>
      <c r="J52" s="38"/>
      <c r="K52" s="39"/>
      <c r="L52" s="38"/>
      <c r="M52" s="39"/>
      <c r="N52" s="38"/>
      <c r="O52" s="39"/>
      <c r="P52" s="38"/>
      <c r="Q52" s="22"/>
    </row>
    <row r="53" spans="2:21" s="23" customFormat="1" ht="17.5" customHeight="1" x14ac:dyDescent="0.45">
      <c r="B53" s="50"/>
      <c r="C53" s="37"/>
      <c r="D53" s="38"/>
      <c r="E53" s="37"/>
      <c r="F53" s="38"/>
      <c r="G53" s="39"/>
      <c r="H53" s="38"/>
      <c r="I53" s="39"/>
      <c r="J53" s="38"/>
      <c r="K53" s="39"/>
      <c r="L53" s="38"/>
      <c r="M53" s="39"/>
      <c r="N53" s="38"/>
      <c r="O53" s="39"/>
      <c r="P53" s="38"/>
      <c r="Q53" s="22"/>
    </row>
    <row r="54" spans="2:21" s="23" customFormat="1" ht="17.5" customHeight="1" x14ac:dyDescent="0.45">
      <c r="B54" s="50" t="s">
        <v>6</v>
      </c>
      <c r="C54" s="37"/>
      <c r="D54" s="38"/>
      <c r="E54" s="37"/>
      <c r="F54" s="38"/>
      <c r="G54" s="39"/>
      <c r="H54" s="38"/>
      <c r="I54" s="39"/>
      <c r="J54" s="38"/>
      <c r="K54" s="39"/>
      <c r="L54" s="38"/>
      <c r="M54" s="39"/>
      <c r="N54" s="38"/>
      <c r="O54" s="39"/>
      <c r="P54" s="38"/>
      <c r="Q54" s="22"/>
    </row>
    <row r="55" spans="2:21" s="23" customFormat="1" ht="17.5" customHeight="1" x14ac:dyDescent="0.35">
      <c r="B55" s="48"/>
      <c r="C55" s="37"/>
      <c r="D55" s="38"/>
      <c r="E55" s="37"/>
      <c r="F55" s="38"/>
      <c r="G55" s="39"/>
      <c r="H55" s="38"/>
      <c r="I55" s="39"/>
      <c r="J55" s="38"/>
      <c r="K55" s="39"/>
      <c r="L55" s="38"/>
      <c r="M55" s="39"/>
      <c r="N55" s="38"/>
      <c r="O55" s="39"/>
      <c r="P55" s="38"/>
      <c r="Q55" s="22"/>
    </row>
    <row r="56" spans="2:21" s="23" customFormat="1" ht="17.5" customHeight="1" x14ac:dyDescent="0.35">
      <c r="B56" s="48"/>
      <c r="C56" s="37"/>
      <c r="D56" s="38"/>
      <c r="E56" s="37"/>
      <c r="F56" s="38"/>
      <c r="G56" s="39"/>
      <c r="H56" s="38"/>
      <c r="I56" s="39"/>
      <c r="J56" s="38"/>
      <c r="K56" s="39"/>
      <c r="L56" s="38"/>
      <c r="M56" s="39"/>
      <c r="N56" s="38"/>
      <c r="O56" s="39"/>
      <c r="P56" s="38"/>
      <c r="Q56" s="22"/>
    </row>
    <row r="57" spans="2:21" s="23" customFormat="1" ht="17.5" customHeight="1" x14ac:dyDescent="0.35">
      <c r="B57" s="48"/>
      <c r="C57" s="37"/>
      <c r="D57" s="38"/>
      <c r="E57" s="37"/>
      <c r="F57" s="38"/>
      <c r="G57" s="39"/>
      <c r="H57" s="38"/>
      <c r="I57" s="39"/>
      <c r="J57" s="38"/>
      <c r="K57" s="39"/>
      <c r="L57" s="38"/>
      <c r="M57" s="39"/>
      <c r="N57" s="38"/>
      <c r="O57" s="39"/>
      <c r="P57" s="38"/>
      <c r="Q57" s="22"/>
    </row>
    <row r="58" spans="2:21" s="23" customFormat="1" ht="17.5" customHeight="1" x14ac:dyDescent="0.35">
      <c r="B58" s="48"/>
      <c r="C58" s="37"/>
      <c r="D58" s="38"/>
      <c r="E58" s="37"/>
      <c r="F58" s="38"/>
      <c r="G58" s="39"/>
      <c r="H58" s="38"/>
      <c r="I58" s="39"/>
      <c r="J58" s="38"/>
      <c r="K58" s="39"/>
      <c r="L58" s="38"/>
      <c r="M58" s="39"/>
      <c r="N58" s="38"/>
      <c r="O58" s="39"/>
      <c r="P58" s="38"/>
      <c r="Q58" s="22"/>
    </row>
    <row r="59" spans="2:21" s="23" customFormat="1" ht="17.5" customHeight="1" x14ac:dyDescent="0.35">
      <c r="B59" s="49"/>
      <c r="C59" s="40" t="s">
        <v>5</v>
      </c>
      <c r="D59" s="41"/>
      <c r="E59" s="40" t="s">
        <v>5</v>
      </c>
      <c r="F59" s="41"/>
      <c r="G59" s="42" t="s">
        <v>5</v>
      </c>
      <c r="H59" s="41"/>
      <c r="I59" s="42" t="s">
        <v>5</v>
      </c>
      <c r="J59" s="41"/>
      <c r="K59" s="42" t="s">
        <v>5</v>
      </c>
      <c r="L59" s="41"/>
      <c r="M59" s="42" t="s">
        <v>5</v>
      </c>
      <c r="N59" s="41"/>
      <c r="O59" s="42" t="s">
        <v>5</v>
      </c>
      <c r="P59" s="41"/>
      <c r="Q59" s="22"/>
    </row>
    <row r="60" spans="2:21" s="51" customFormat="1" ht="18" customHeight="1" x14ac:dyDescent="0.3">
      <c r="B60" s="52"/>
      <c r="C60" s="55">
        <f>IF(DAY(SepSun1)=1,IF(AND(YEAR(SepSun1+22)=CalendarYear,MONTH(SepSun1+22)=9),SepSun1+22,""),IF(AND(YEAR(SepSun1+29)=CalendarYear,MONTH(SepSun1+29)=9),SepSun1+29,""))</f>
        <v>44466</v>
      </c>
      <c r="D60" s="61" t="s">
        <v>29</v>
      </c>
      <c r="E60" s="55">
        <f>IF(DAY(SepSun1)=1,IF(AND(YEAR(SepSun1+23)=CalendarYear,MONTH(SepSun1+23)=9),SepSun1+23,""),IF(AND(YEAR(SepSun1+30)=CalendarYear,MONTH(SepSun1+30)=9),SepSun1+30,""))</f>
        <v>44467</v>
      </c>
      <c r="F60" s="61" t="s">
        <v>29</v>
      </c>
      <c r="G60" s="56">
        <f>IF(DAY(SepSun1)=1,IF(AND(YEAR(SepSun1+24)=CalendarYear,MONTH(SepSun1+24)=9),SepSun1+24,""),IF(AND(YEAR(SepSun1+31)=CalendarYear,MONTH(SepSun1+31)=9),SepSun1+31,""))</f>
        <v>44468</v>
      </c>
      <c r="H60" s="61" t="s">
        <v>29</v>
      </c>
      <c r="I60" s="56">
        <f>IF(DAY(SepSun1)=1,IF(AND(YEAR(SepSun1+25)=CalendarYear,MONTH(SepSun1+25)=9),SepSun1+25,""),IF(AND(YEAR(SepSun1+32)=CalendarYear,MONTH(SepSun1+32)=9),SepSun1+32,""))</f>
        <v>44469</v>
      </c>
      <c r="J60" s="61" t="s">
        <v>29</v>
      </c>
      <c r="K60" s="56" t="str">
        <f>IF(DAY(SepSun1)=1,IF(AND(YEAR(SepSun1+26)=CalendarYear,MONTH(SepSun1+26)=9),SepSun1+26,""),IF(AND(YEAR(SepSun1+33)=CalendarYear,MONTH(SepSun1+33)=9),SepSun1+33,""))</f>
        <v/>
      </c>
      <c r="L60" s="61" t="s">
        <v>29</v>
      </c>
      <c r="M60" s="56" t="str">
        <f>IF(DAY(SepSun1)=1,IF(AND(YEAR(SepSun1+27)=CalendarYear,MONTH(SepSun1+27)=9),SepSun1+27,""),IF(AND(YEAR(SepSun1+34)=CalendarYear,MONTH(SepSun1+34)=9),SepSun1+34,""))</f>
        <v/>
      </c>
      <c r="N60" s="61" t="s">
        <v>29</v>
      </c>
      <c r="O60" s="56" t="str">
        <f>IF(DAY(SepSun1)=1,IF(AND(YEAR(SepSun1+28)=CalendarYear,MONTH(SepSun1+28)=9),SepSun1+28,""),IF(AND(YEAR(SepSun1+35)=CalendarYear,MONTH(SepSun1+35)=9),SepSun1+35,""))</f>
        <v/>
      </c>
      <c r="P60" s="61" t="s">
        <v>29</v>
      </c>
      <c r="Q60" s="47"/>
      <c r="T60" s="53"/>
      <c r="U60" s="54"/>
    </row>
    <row r="61" spans="2:21" s="23" customFormat="1" ht="17.5" customHeight="1" x14ac:dyDescent="0.45">
      <c r="B61" s="50" t="s">
        <v>1</v>
      </c>
      <c r="C61" s="25"/>
      <c r="D61" s="26"/>
      <c r="E61" s="25"/>
      <c r="F61" s="26"/>
      <c r="G61" s="27"/>
      <c r="H61" s="26"/>
      <c r="I61" s="27"/>
      <c r="J61" s="26"/>
      <c r="K61" s="27"/>
      <c r="L61" s="26"/>
      <c r="M61" s="27"/>
      <c r="N61" s="26"/>
      <c r="O61" s="27"/>
      <c r="P61" s="26"/>
      <c r="Q61" s="22"/>
    </row>
    <row r="62" spans="2:21" s="23" customFormat="1" ht="17.5" customHeight="1" x14ac:dyDescent="0.45">
      <c r="B62" s="50" t="s">
        <v>2</v>
      </c>
      <c r="C62" s="28"/>
      <c r="D62" s="29"/>
      <c r="E62" s="28"/>
      <c r="F62" s="29"/>
      <c r="G62" s="30"/>
      <c r="H62" s="29"/>
      <c r="I62" s="30"/>
      <c r="J62" s="29"/>
      <c r="K62" s="30"/>
      <c r="L62" s="29"/>
      <c r="M62" s="30"/>
      <c r="N62" s="29"/>
      <c r="O62" s="30"/>
      <c r="P62" s="29"/>
      <c r="Q62" s="22"/>
    </row>
    <row r="63" spans="2:21" s="23" customFormat="1" ht="17.5" customHeight="1" x14ac:dyDescent="0.45">
      <c r="B63" s="50" t="s">
        <v>3</v>
      </c>
      <c r="C63" s="28"/>
      <c r="D63" s="29"/>
      <c r="E63" s="28"/>
      <c r="F63" s="29"/>
      <c r="G63" s="30"/>
      <c r="H63" s="29"/>
      <c r="I63" s="30"/>
      <c r="J63" s="29"/>
      <c r="K63" s="30"/>
      <c r="L63" s="29"/>
      <c r="M63" s="30"/>
      <c r="N63" s="29"/>
      <c r="O63" s="30"/>
      <c r="P63" s="29"/>
      <c r="Q63" s="22"/>
    </row>
    <row r="64" spans="2:21" s="23" customFormat="1" ht="17.5" customHeight="1" x14ac:dyDescent="0.45">
      <c r="B64" s="50" t="s">
        <v>4</v>
      </c>
      <c r="C64" s="28"/>
      <c r="D64" s="29"/>
      <c r="E64" s="28"/>
      <c r="F64" s="29"/>
      <c r="G64" s="30"/>
      <c r="H64" s="29"/>
      <c r="I64" s="30"/>
      <c r="J64" s="29"/>
      <c r="K64" s="30"/>
      <c r="L64" s="29"/>
      <c r="M64" s="30"/>
      <c r="N64" s="29"/>
      <c r="O64" s="30"/>
      <c r="P64" s="29"/>
      <c r="Q64" s="22"/>
    </row>
    <row r="65" spans="1:21" s="23" customFormat="1" ht="17.5" customHeight="1" x14ac:dyDescent="0.45">
      <c r="B65" s="50" t="s">
        <v>2</v>
      </c>
      <c r="C65" s="28"/>
      <c r="D65" s="29"/>
      <c r="E65" s="28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22"/>
    </row>
    <row r="66" spans="1:21" s="23" customFormat="1" ht="17.5" customHeight="1" x14ac:dyDescent="0.45">
      <c r="B66" s="50"/>
      <c r="C66" s="28"/>
      <c r="D66" s="29"/>
      <c r="E66" s="28"/>
      <c r="F66" s="29"/>
      <c r="G66" s="30"/>
      <c r="H66" s="29"/>
      <c r="I66" s="30"/>
      <c r="J66" s="29"/>
      <c r="K66" s="30"/>
      <c r="L66" s="29"/>
      <c r="M66" s="30"/>
      <c r="N66" s="29"/>
      <c r="O66" s="30"/>
      <c r="P66" s="29"/>
      <c r="Q66" s="22"/>
    </row>
    <row r="67" spans="1:21" s="23" customFormat="1" ht="17.5" customHeight="1" x14ac:dyDescent="0.45">
      <c r="B67" s="50" t="s">
        <v>6</v>
      </c>
      <c r="C67" s="28"/>
      <c r="D67" s="29"/>
      <c r="E67" s="28"/>
      <c r="F67" s="29"/>
      <c r="G67" s="30"/>
      <c r="H67" s="29"/>
      <c r="I67" s="30"/>
      <c r="J67" s="29"/>
      <c r="K67" s="30"/>
      <c r="L67" s="29"/>
      <c r="M67" s="30"/>
      <c r="N67" s="29"/>
      <c r="O67" s="30"/>
      <c r="P67" s="29"/>
      <c r="Q67" s="22"/>
    </row>
    <row r="68" spans="1:21" s="23" customFormat="1" ht="17.5" customHeight="1" x14ac:dyDescent="0.35">
      <c r="B68" s="48"/>
      <c r="C68" s="28"/>
      <c r="D68" s="29"/>
      <c r="E68" s="28"/>
      <c r="F68" s="29"/>
      <c r="G68" s="30"/>
      <c r="H68" s="29"/>
      <c r="I68" s="30"/>
      <c r="J68" s="29"/>
      <c r="K68" s="30"/>
      <c r="L68" s="29"/>
      <c r="M68" s="30"/>
      <c r="N68" s="29"/>
      <c r="O68" s="30"/>
      <c r="P68" s="29"/>
      <c r="Q68" s="22"/>
    </row>
    <row r="69" spans="1:21" s="23" customFormat="1" ht="17.5" customHeight="1" x14ac:dyDescent="0.35">
      <c r="B69" s="48"/>
      <c r="C69" s="28"/>
      <c r="D69" s="29"/>
      <c r="E69" s="28"/>
      <c r="F69" s="29"/>
      <c r="G69" s="30"/>
      <c r="H69" s="29"/>
      <c r="I69" s="30"/>
      <c r="J69" s="29"/>
      <c r="K69" s="30"/>
      <c r="L69" s="29"/>
      <c r="M69" s="30"/>
      <c r="N69" s="29"/>
      <c r="O69" s="30"/>
      <c r="P69" s="29"/>
      <c r="Q69" s="22"/>
    </row>
    <row r="70" spans="1:21" s="23" customFormat="1" ht="17.5" customHeight="1" x14ac:dyDescent="0.35">
      <c r="B70" s="48"/>
      <c r="C70" s="28"/>
      <c r="D70" s="29"/>
      <c r="E70" s="28"/>
      <c r="F70" s="29"/>
      <c r="G70" s="30"/>
      <c r="H70" s="29"/>
      <c r="I70" s="30"/>
      <c r="J70" s="29"/>
      <c r="K70" s="30"/>
      <c r="L70" s="29"/>
      <c r="M70" s="30"/>
      <c r="N70" s="29"/>
      <c r="O70" s="30"/>
      <c r="P70" s="29"/>
      <c r="Q70" s="22"/>
    </row>
    <row r="71" spans="1:21" s="23" customFormat="1" ht="17.5" customHeight="1" x14ac:dyDescent="0.35">
      <c r="B71" s="48"/>
      <c r="C71" s="28"/>
      <c r="D71" s="29"/>
      <c r="E71" s="28"/>
      <c r="F71" s="29"/>
      <c r="G71" s="30"/>
      <c r="H71" s="29"/>
      <c r="I71" s="30"/>
      <c r="J71" s="29"/>
      <c r="K71" s="30"/>
      <c r="L71" s="29"/>
      <c r="M71" s="30"/>
      <c r="N71" s="29"/>
      <c r="O71" s="30"/>
      <c r="P71" s="29"/>
      <c r="Q71" s="22"/>
    </row>
    <row r="72" spans="1:21" s="23" customFormat="1" ht="17.5" customHeight="1" x14ac:dyDescent="0.35">
      <c r="B72" s="49"/>
      <c r="C72" s="31" t="s">
        <v>5</v>
      </c>
      <c r="D72" s="32"/>
      <c r="E72" s="31" t="s">
        <v>5</v>
      </c>
      <c r="F72" s="32"/>
      <c r="G72" s="33" t="s">
        <v>5</v>
      </c>
      <c r="H72" s="32"/>
      <c r="I72" s="33" t="s">
        <v>5</v>
      </c>
      <c r="J72" s="32"/>
      <c r="K72" s="33" t="s">
        <v>5</v>
      </c>
      <c r="L72" s="32"/>
      <c r="M72" s="33" t="s">
        <v>5</v>
      </c>
      <c r="N72" s="32"/>
      <c r="O72" s="33" t="s">
        <v>5</v>
      </c>
      <c r="P72" s="32"/>
      <c r="Q72" s="22"/>
    </row>
    <row r="73" spans="1:21" s="21" customFormat="1" ht="18" customHeight="1" x14ac:dyDescent="0.3">
      <c r="A73" s="51"/>
      <c r="B73" s="52"/>
      <c r="C73" s="55" t="str">
        <f>IF(DAY(SepSun1)=1,IF(AND(YEAR(SepSun1+29)=CalendarYear,MONTH(SepSun1+29)=9),SepSun1+29,""),IF(AND(YEAR(SepSun1+36)=CalendarYear,MONTH(SepSun1+36)=9),SepSun1+36,""))</f>
        <v/>
      </c>
      <c r="D73" s="61" t="s">
        <v>29</v>
      </c>
      <c r="E73" s="55" t="str">
        <f>IF(DAY(SepSun1)=1,IF(AND(YEAR(SepSun1+30)=CalendarYear,MONTH(SepSun1+30)=9),SepSun1+30,""),IF(AND(YEAR(SepSun1+37)=CalendarYear,MONTH(SepSun1+37)=9),SepSun1+37,""))</f>
        <v/>
      </c>
      <c r="F73" s="61" t="s">
        <v>29</v>
      </c>
      <c r="G73" s="56" t="s">
        <v>14</v>
      </c>
      <c r="H73" s="57"/>
      <c r="I73" s="58"/>
      <c r="J73" s="57"/>
      <c r="K73" s="58"/>
      <c r="L73" s="57"/>
      <c r="M73" s="58"/>
      <c r="N73" s="57"/>
      <c r="O73" s="58"/>
      <c r="P73" s="57"/>
      <c r="Q73" s="22"/>
      <c r="T73" s="23"/>
      <c r="U73" s="24"/>
    </row>
    <row r="74" spans="1:21" s="23" customFormat="1" ht="17.5" customHeight="1" x14ac:dyDescent="0.45">
      <c r="B74" s="50" t="s">
        <v>1</v>
      </c>
      <c r="C74" s="34"/>
      <c r="D74" s="35"/>
      <c r="E74" s="34"/>
      <c r="F74" s="35"/>
      <c r="G74" s="163"/>
      <c r="H74" s="164"/>
      <c r="I74" s="164"/>
      <c r="J74" s="164"/>
      <c r="K74" s="164"/>
      <c r="L74" s="164"/>
      <c r="M74" s="164"/>
      <c r="N74" s="164"/>
      <c r="O74" s="164"/>
      <c r="P74" s="165"/>
      <c r="Q74" s="22"/>
    </row>
    <row r="75" spans="1:21" s="23" customFormat="1" ht="17.5" customHeight="1" x14ac:dyDescent="0.45">
      <c r="B75" s="50" t="s">
        <v>2</v>
      </c>
      <c r="C75" s="37"/>
      <c r="D75" s="38"/>
      <c r="E75" s="37"/>
      <c r="F75" s="38"/>
      <c r="G75" s="166"/>
      <c r="H75" s="167"/>
      <c r="I75" s="167"/>
      <c r="J75" s="167"/>
      <c r="K75" s="167"/>
      <c r="L75" s="167"/>
      <c r="M75" s="167"/>
      <c r="N75" s="167"/>
      <c r="O75" s="167"/>
      <c r="P75" s="168"/>
      <c r="Q75" s="22"/>
    </row>
    <row r="76" spans="1:21" s="23" customFormat="1" ht="17.5" customHeight="1" x14ac:dyDescent="0.45">
      <c r="B76" s="50" t="s">
        <v>3</v>
      </c>
      <c r="C76" s="37"/>
      <c r="D76" s="38"/>
      <c r="E76" s="37"/>
      <c r="F76" s="38"/>
      <c r="G76" s="166"/>
      <c r="H76" s="167"/>
      <c r="I76" s="167"/>
      <c r="J76" s="167"/>
      <c r="K76" s="167"/>
      <c r="L76" s="167"/>
      <c r="M76" s="167"/>
      <c r="N76" s="167"/>
      <c r="O76" s="167"/>
      <c r="P76" s="168"/>
      <c r="Q76" s="22"/>
    </row>
    <row r="77" spans="1:21" s="23" customFormat="1" ht="17.5" customHeight="1" x14ac:dyDescent="0.45">
      <c r="B77" s="50" t="s">
        <v>4</v>
      </c>
      <c r="C77" s="37"/>
      <c r="D77" s="38"/>
      <c r="E77" s="37"/>
      <c r="F77" s="38"/>
      <c r="G77" s="166"/>
      <c r="H77" s="167"/>
      <c r="I77" s="167"/>
      <c r="J77" s="167"/>
      <c r="K77" s="167"/>
      <c r="L77" s="167"/>
      <c r="M77" s="167"/>
      <c r="N77" s="167"/>
      <c r="O77" s="167"/>
      <c r="P77" s="168"/>
      <c r="Q77" s="22"/>
    </row>
    <row r="78" spans="1:21" s="23" customFormat="1" ht="17.5" customHeight="1" x14ac:dyDescent="0.45">
      <c r="B78" s="50" t="s">
        <v>2</v>
      </c>
      <c r="C78" s="37"/>
      <c r="D78" s="38"/>
      <c r="E78" s="37"/>
      <c r="F78" s="38"/>
      <c r="G78" s="166"/>
      <c r="H78" s="167"/>
      <c r="I78" s="167"/>
      <c r="J78" s="167"/>
      <c r="K78" s="167"/>
      <c r="L78" s="167"/>
      <c r="M78" s="167"/>
      <c r="N78" s="167"/>
      <c r="O78" s="167"/>
      <c r="P78" s="168"/>
      <c r="Q78" s="22"/>
    </row>
    <row r="79" spans="1:21" s="23" customFormat="1" ht="17.5" customHeight="1" x14ac:dyDescent="0.45">
      <c r="B79" s="50"/>
      <c r="C79" s="37"/>
      <c r="D79" s="38"/>
      <c r="E79" s="37"/>
      <c r="F79" s="38"/>
      <c r="G79" s="166"/>
      <c r="H79" s="167"/>
      <c r="I79" s="167"/>
      <c r="J79" s="167"/>
      <c r="K79" s="167"/>
      <c r="L79" s="167"/>
      <c r="M79" s="167"/>
      <c r="N79" s="167"/>
      <c r="O79" s="167"/>
      <c r="P79" s="168"/>
      <c r="Q79" s="22"/>
    </row>
    <row r="80" spans="1:21" s="23" customFormat="1" ht="17.5" customHeight="1" x14ac:dyDescent="0.45">
      <c r="B80" s="50" t="s">
        <v>6</v>
      </c>
      <c r="C80" s="37"/>
      <c r="D80" s="38"/>
      <c r="E80" s="37"/>
      <c r="F80" s="38"/>
      <c r="G80" s="166"/>
      <c r="H80" s="167"/>
      <c r="I80" s="167"/>
      <c r="J80" s="167"/>
      <c r="K80" s="167"/>
      <c r="L80" s="167"/>
      <c r="M80" s="167"/>
      <c r="N80" s="167"/>
      <c r="O80" s="167"/>
      <c r="P80" s="168"/>
      <c r="Q80" s="22"/>
    </row>
    <row r="81" spans="1:17" s="23" customFormat="1" ht="17.5" customHeight="1" x14ac:dyDescent="0.35">
      <c r="B81" s="48"/>
      <c r="C81" s="37"/>
      <c r="D81" s="38"/>
      <c r="E81" s="37"/>
      <c r="F81" s="38"/>
      <c r="G81" s="166"/>
      <c r="H81" s="167"/>
      <c r="I81" s="167"/>
      <c r="J81" s="167"/>
      <c r="K81" s="167"/>
      <c r="L81" s="167"/>
      <c r="M81" s="167"/>
      <c r="N81" s="167"/>
      <c r="O81" s="167"/>
      <c r="P81" s="168"/>
      <c r="Q81" s="22"/>
    </row>
    <row r="82" spans="1:17" s="23" customFormat="1" ht="17.5" customHeight="1" x14ac:dyDescent="0.35">
      <c r="B82" s="48"/>
      <c r="C82" s="37"/>
      <c r="D82" s="38"/>
      <c r="E82" s="37"/>
      <c r="F82" s="38"/>
      <c r="G82" s="166"/>
      <c r="H82" s="167"/>
      <c r="I82" s="167"/>
      <c r="J82" s="167"/>
      <c r="K82" s="167"/>
      <c r="L82" s="167"/>
      <c r="M82" s="167"/>
      <c r="N82" s="167"/>
      <c r="O82" s="167"/>
      <c r="P82" s="168"/>
      <c r="Q82" s="22"/>
    </row>
    <row r="83" spans="1:17" s="23" customFormat="1" ht="17.5" customHeight="1" x14ac:dyDescent="0.35">
      <c r="B83" s="48"/>
      <c r="C83" s="37"/>
      <c r="D83" s="38"/>
      <c r="E83" s="37"/>
      <c r="F83" s="38"/>
      <c r="G83" s="166"/>
      <c r="H83" s="167"/>
      <c r="I83" s="167"/>
      <c r="J83" s="167"/>
      <c r="K83" s="167"/>
      <c r="L83" s="167"/>
      <c r="M83" s="167"/>
      <c r="N83" s="167"/>
      <c r="O83" s="167"/>
      <c r="P83" s="168"/>
      <c r="Q83" s="22"/>
    </row>
    <row r="84" spans="1:17" s="23" customFormat="1" ht="17.5" customHeight="1" x14ac:dyDescent="0.35">
      <c r="B84" s="48"/>
      <c r="C84" s="37"/>
      <c r="D84" s="38"/>
      <c r="E84" s="37"/>
      <c r="F84" s="38"/>
      <c r="G84" s="166"/>
      <c r="H84" s="167"/>
      <c r="I84" s="167"/>
      <c r="J84" s="167"/>
      <c r="K84" s="167"/>
      <c r="L84" s="167"/>
      <c r="M84" s="167"/>
      <c r="N84" s="167"/>
      <c r="O84" s="167"/>
      <c r="P84" s="168"/>
      <c r="Q84" s="22"/>
    </row>
    <row r="85" spans="1:17" s="23" customFormat="1" ht="17.5" customHeight="1" x14ac:dyDescent="0.35">
      <c r="B85" s="49"/>
      <c r="C85" s="40" t="s">
        <v>5</v>
      </c>
      <c r="D85" s="41"/>
      <c r="E85" s="40" t="s">
        <v>5</v>
      </c>
      <c r="F85" s="41"/>
      <c r="G85" s="169"/>
      <c r="H85" s="170"/>
      <c r="I85" s="170"/>
      <c r="J85" s="170"/>
      <c r="K85" s="170"/>
      <c r="L85" s="170"/>
      <c r="M85" s="170"/>
      <c r="N85" s="170"/>
      <c r="O85" s="170"/>
      <c r="P85" s="171"/>
      <c r="Q85" s="22"/>
    </row>
    <row r="86" spans="1:17" ht="22.75" customHeight="1" x14ac:dyDescent="0.3">
      <c r="B86" s="159" t="s">
        <v>27</v>
      </c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</row>
    <row r="87" spans="1:17" ht="22.75" customHeight="1" x14ac:dyDescent="0.3">
      <c r="A87" s="2"/>
      <c r="B87" s="158" t="s">
        <v>28</v>
      </c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</row>
    <row r="88" spans="1:17" x14ac:dyDescent="0.3">
      <c r="A88" s="2"/>
    </row>
    <row r="89" spans="1:17" x14ac:dyDescent="0.3">
      <c r="A89" s="2"/>
    </row>
    <row r="90" spans="1:17" ht="21" customHeight="1" x14ac:dyDescent="0.3">
      <c r="A90" s="2"/>
      <c r="E90" s="5"/>
      <c r="F90" s="17"/>
      <c r="G90" s="4"/>
      <c r="H90" s="18"/>
      <c r="I90" s="3"/>
      <c r="J90" s="19"/>
    </row>
    <row r="91" spans="1:17" ht="19.5" customHeight="1" x14ac:dyDescent="0.3">
      <c r="A91" s="2"/>
    </row>
    <row r="92" spans="1:17" ht="15" x14ac:dyDescent="0.3">
      <c r="A92"/>
    </row>
    <row r="93" spans="1:17" x14ac:dyDescent="0.3">
      <c r="A93" s="2"/>
    </row>
    <row r="94" spans="1:17" x14ac:dyDescent="0.3">
      <c r="A94" s="2"/>
    </row>
    <row r="95" spans="1:17" x14ac:dyDescent="0.3">
      <c r="A95" s="2"/>
    </row>
    <row r="96" spans="1:17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ht="15" x14ac:dyDescent="0.3">
      <c r="A105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ht="15" x14ac:dyDescent="0.3">
      <c r="A118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ht="15" x14ac:dyDescent="0.3">
      <c r="A131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4" spans="1:1" ht="15" x14ac:dyDescent="0.3">
      <c r="A144"/>
    </row>
    <row r="145" spans="1:1" x14ac:dyDescent="0.3">
      <c r="A145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x14ac:dyDescent="0.3">
      <c r="A150" s="2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ht="15" x14ac:dyDescent="0.3">
      <c r="A163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x14ac:dyDescent="0.3">
      <c r="A174" s="2"/>
    </row>
    <row r="175" spans="1:1" x14ac:dyDescent="0.3">
      <c r="A175" s="2"/>
    </row>
    <row r="176" spans="1:1" ht="15" x14ac:dyDescent="0.3">
      <c r="A176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ht="15" x14ac:dyDescent="0.3">
      <c r="A189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ht="15" x14ac:dyDescent="0.3">
      <c r="A20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x14ac:dyDescent="0.3">
      <c r="A213" s="2"/>
    </row>
    <row r="214" spans="1:1" x14ac:dyDescent="0.3">
      <c r="A214" s="2"/>
    </row>
    <row r="215" spans="1:1" ht="15" x14ac:dyDescent="0.3">
      <c r="A215"/>
    </row>
    <row r="216" spans="1:1" x14ac:dyDescent="0.3">
      <c r="A216" s="2"/>
    </row>
    <row r="217" spans="1:1" x14ac:dyDescent="0.3">
      <c r="A217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x14ac:dyDescent="0.3">
      <c r="A225" s="2"/>
    </row>
    <row r="226" spans="1:1" x14ac:dyDescent="0.3">
      <c r="A226" s="2"/>
    </row>
    <row r="227" spans="1:1" x14ac:dyDescent="0.3">
      <c r="A227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ht="15" x14ac:dyDescent="0.3">
      <c r="A238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ht="15" x14ac:dyDescent="0.3">
      <c r="A251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ht="15" x14ac:dyDescent="0.3">
      <c r="A264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  <row r="269" spans="1:1" x14ac:dyDescent="0.3">
      <c r="A269" s="2"/>
    </row>
    <row r="270" spans="1:1" x14ac:dyDescent="0.3">
      <c r="A270" s="2"/>
    </row>
    <row r="271" spans="1:1" x14ac:dyDescent="0.3">
      <c r="A271" s="2"/>
    </row>
    <row r="272" spans="1:1" x14ac:dyDescent="0.3">
      <c r="A272" s="2"/>
    </row>
    <row r="273" spans="1:1" x14ac:dyDescent="0.3">
      <c r="A273" s="2"/>
    </row>
    <row r="274" spans="1:1" x14ac:dyDescent="0.3">
      <c r="A274" s="2"/>
    </row>
    <row r="275" spans="1:1" x14ac:dyDescent="0.3">
      <c r="A275" s="2"/>
    </row>
    <row r="276" spans="1:1" x14ac:dyDescent="0.3">
      <c r="A276" s="2"/>
    </row>
    <row r="277" spans="1:1" ht="15" x14ac:dyDescent="0.3">
      <c r="A277"/>
    </row>
    <row r="278" spans="1:1" x14ac:dyDescent="0.3">
      <c r="A278" s="2"/>
    </row>
    <row r="279" spans="1:1" x14ac:dyDescent="0.3">
      <c r="A279" s="2"/>
    </row>
    <row r="280" spans="1:1" x14ac:dyDescent="0.3">
      <c r="A280" s="2"/>
    </row>
    <row r="281" spans="1:1" x14ac:dyDescent="0.3">
      <c r="A281" s="2"/>
    </row>
    <row r="282" spans="1:1" x14ac:dyDescent="0.3">
      <c r="A282" s="2"/>
    </row>
    <row r="283" spans="1:1" x14ac:dyDescent="0.3">
      <c r="A283" s="2"/>
    </row>
    <row r="284" spans="1:1" x14ac:dyDescent="0.3">
      <c r="A284" s="2"/>
    </row>
    <row r="285" spans="1:1" x14ac:dyDescent="0.3">
      <c r="A285" s="2"/>
    </row>
    <row r="286" spans="1:1" x14ac:dyDescent="0.3">
      <c r="A286" s="2"/>
    </row>
    <row r="287" spans="1:1" x14ac:dyDescent="0.3">
      <c r="A287" s="2"/>
    </row>
    <row r="288" spans="1:1" x14ac:dyDescent="0.3">
      <c r="A288" s="2"/>
    </row>
    <row r="289" spans="1:1" x14ac:dyDescent="0.3">
      <c r="A289" s="2"/>
    </row>
    <row r="290" spans="1:1" ht="15" x14ac:dyDescent="0.3">
      <c r="A290"/>
    </row>
    <row r="291" spans="1:1" x14ac:dyDescent="0.3">
      <c r="A291" s="2"/>
    </row>
    <row r="292" spans="1:1" x14ac:dyDescent="0.3">
      <c r="A292" s="2"/>
    </row>
    <row r="293" spans="1:1" x14ac:dyDescent="0.3">
      <c r="A293" s="2"/>
    </row>
    <row r="294" spans="1:1" x14ac:dyDescent="0.3">
      <c r="A294" s="2"/>
    </row>
    <row r="295" spans="1:1" x14ac:dyDescent="0.3">
      <c r="A295" s="2"/>
    </row>
    <row r="296" spans="1:1" x14ac:dyDescent="0.3">
      <c r="A296" s="2"/>
    </row>
    <row r="297" spans="1:1" x14ac:dyDescent="0.3">
      <c r="A297" s="2"/>
    </row>
    <row r="298" spans="1:1" x14ac:dyDescent="0.3">
      <c r="A298" s="2"/>
    </row>
    <row r="299" spans="1:1" x14ac:dyDescent="0.3">
      <c r="A299" s="2"/>
    </row>
    <row r="300" spans="1:1" x14ac:dyDescent="0.3">
      <c r="A300" s="2"/>
    </row>
    <row r="301" spans="1:1" x14ac:dyDescent="0.3">
      <c r="A301" s="2"/>
    </row>
    <row r="302" spans="1:1" x14ac:dyDescent="0.3">
      <c r="A302" s="2"/>
    </row>
  </sheetData>
  <mergeCells count="7">
    <mergeCell ref="BK4:BN5"/>
    <mergeCell ref="CB6:CC6"/>
    <mergeCell ref="B86:P86"/>
    <mergeCell ref="B87:P87"/>
    <mergeCell ref="G74:P85"/>
    <mergeCell ref="B4:C5"/>
    <mergeCell ref="G6:H6"/>
  </mergeCells>
  <printOptions horizontalCentered="1" verticalCentered="1"/>
  <pageMargins left="0.2" right="0.2" top="0.25" bottom="0.25" header="0" footer="0"/>
  <pageSetup scale="34" orientation="landscape" r:id="rId1"/>
  <headerFooter scaleWithDoc="0"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873beb7-5857-4685-be1f-d57550cc96cc" xsi:nil="true"/>
    <AssetExpire xmlns="4873beb7-5857-4685-be1f-d57550cc96cc">2029-01-01T08:00:00+00:00</AssetExpire>
    <CampaignTagsTaxHTField0 xmlns="4873beb7-5857-4685-be1f-d57550cc96cc">
      <Terms xmlns="http://schemas.microsoft.com/office/infopath/2007/PartnerControls"/>
    </CampaignTagsTaxHTField0>
    <IntlLangReviewDate xmlns="4873beb7-5857-4685-be1f-d57550cc96cc" xsi:nil="true"/>
    <TPFriendlyName xmlns="4873beb7-5857-4685-be1f-d57550cc96cc" xsi:nil="true"/>
    <IntlLangReview xmlns="4873beb7-5857-4685-be1f-d57550cc96cc">false</IntlLangReview>
    <LocLastLocAttemptVersionLookup xmlns="4873beb7-5857-4685-be1f-d57550cc96cc">856622</LocLastLocAttemptVersionLookup>
    <PolicheckWords xmlns="4873beb7-5857-4685-be1f-d57550cc96cc" xsi:nil="true"/>
    <SubmitterId xmlns="4873beb7-5857-4685-be1f-d57550cc96cc" xsi:nil="true"/>
    <AcquiredFrom xmlns="4873beb7-5857-4685-be1f-d57550cc96cc">Internal MS</AcquiredFrom>
    <EditorialStatus xmlns="4873beb7-5857-4685-be1f-d57550cc96cc">Complete</EditorialStatus>
    <Markets xmlns="4873beb7-5857-4685-be1f-d57550cc96cc"/>
    <OriginAsset xmlns="4873beb7-5857-4685-be1f-d57550cc96cc" xsi:nil="true"/>
    <AssetStart xmlns="4873beb7-5857-4685-be1f-d57550cc96cc">2012-09-19T11:18:00+00:00</AssetStart>
    <FriendlyTitle xmlns="4873beb7-5857-4685-be1f-d57550cc96cc" xsi:nil="true"/>
    <MarketSpecific xmlns="4873beb7-5857-4685-be1f-d57550cc96cc">false</MarketSpecific>
    <TPNamespace xmlns="4873beb7-5857-4685-be1f-d57550cc96cc" xsi:nil="true"/>
    <PublishStatusLookup xmlns="4873beb7-5857-4685-be1f-d57550cc96cc">
      <Value>1622659</Value>
    </PublishStatusLookup>
    <APAuthor xmlns="4873beb7-5857-4685-be1f-d57550cc96cc">
      <UserInfo>
        <DisplayName>REDMOND\v-anij</DisplayName>
        <AccountId>2469</AccountId>
        <AccountType/>
      </UserInfo>
    </APAuthor>
    <TPCommandLine xmlns="4873beb7-5857-4685-be1f-d57550cc96cc" xsi:nil="true"/>
    <IntlLangReviewer xmlns="4873beb7-5857-4685-be1f-d57550cc96cc" xsi:nil="true"/>
    <OpenTemplate xmlns="4873beb7-5857-4685-be1f-d57550cc96cc">true</OpenTemplate>
    <CSXSubmissionDate xmlns="4873beb7-5857-4685-be1f-d57550cc96cc" xsi:nil="true"/>
    <TaxCatchAll xmlns="4873beb7-5857-4685-be1f-d57550cc96cc"/>
    <Manager xmlns="4873beb7-5857-4685-be1f-d57550cc96cc" xsi:nil="true"/>
    <NumericId xmlns="4873beb7-5857-4685-be1f-d57550cc96cc" xsi:nil="true"/>
    <ParentAssetId xmlns="4873beb7-5857-4685-be1f-d57550cc96cc" xsi:nil="true"/>
    <OriginalSourceMarket xmlns="4873beb7-5857-4685-be1f-d57550cc96cc" xsi:nil="true"/>
    <ApprovalStatus xmlns="4873beb7-5857-4685-be1f-d57550cc96cc">InProgress</ApprovalStatus>
    <TPComponent xmlns="4873beb7-5857-4685-be1f-d57550cc96cc" xsi:nil="true"/>
    <EditorialTags xmlns="4873beb7-5857-4685-be1f-d57550cc96cc" xsi:nil="true"/>
    <TPExecutable xmlns="4873beb7-5857-4685-be1f-d57550cc96cc" xsi:nil="true"/>
    <TPLaunchHelpLink xmlns="4873beb7-5857-4685-be1f-d57550cc96cc" xsi:nil="true"/>
    <LocComments xmlns="4873beb7-5857-4685-be1f-d57550cc96cc" xsi:nil="true"/>
    <LocRecommendedHandoff xmlns="4873beb7-5857-4685-be1f-d57550cc96cc" xsi:nil="true"/>
    <SourceTitle xmlns="4873beb7-5857-4685-be1f-d57550cc96cc" xsi:nil="true"/>
    <CSXUpdate xmlns="4873beb7-5857-4685-be1f-d57550cc96cc">false</CSXUpdate>
    <IntlLocPriority xmlns="4873beb7-5857-4685-be1f-d57550cc96cc" xsi:nil="true"/>
    <UAProjectedTotalWords xmlns="4873beb7-5857-4685-be1f-d57550cc96cc" xsi:nil="true"/>
    <AssetType xmlns="4873beb7-5857-4685-be1f-d57550cc96cc">TP</AssetType>
    <MachineTranslated xmlns="4873beb7-5857-4685-be1f-d57550cc96cc">false</MachineTranslated>
    <OutputCachingOn xmlns="4873beb7-5857-4685-be1f-d57550cc96cc">false</OutputCachingOn>
    <TemplateStatus xmlns="4873beb7-5857-4685-be1f-d57550cc96cc">Complete</TemplateStatus>
    <IsSearchable xmlns="4873beb7-5857-4685-be1f-d57550cc96cc">true</IsSearchable>
    <ContentItem xmlns="4873beb7-5857-4685-be1f-d57550cc96cc" xsi:nil="true"/>
    <HandoffToMSDN xmlns="4873beb7-5857-4685-be1f-d57550cc96cc" xsi:nil="true"/>
    <ShowIn xmlns="4873beb7-5857-4685-be1f-d57550cc96cc">Show everywhere</ShowIn>
    <ThumbnailAssetId xmlns="4873beb7-5857-4685-be1f-d57550cc96cc" xsi:nil="true"/>
    <UALocComments xmlns="4873beb7-5857-4685-be1f-d57550cc96cc" xsi:nil="true"/>
    <UALocRecommendation xmlns="4873beb7-5857-4685-be1f-d57550cc96cc">Localize</UALocRecommendation>
    <LastModifiedDateTime xmlns="4873beb7-5857-4685-be1f-d57550cc96cc" xsi:nil="true"/>
    <LegacyData xmlns="4873beb7-5857-4685-be1f-d57550cc96cc" xsi:nil="true"/>
    <LocManualTestRequired xmlns="4873beb7-5857-4685-be1f-d57550cc96cc">false</LocManualTestRequired>
    <LocMarketGroupTiers2 xmlns="4873beb7-5857-4685-be1f-d57550cc96cc" xsi:nil="true"/>
    <ClipArtFilename xmlns="4873beb7-5857-4685-be1f-d57550cc96cc" xsi:nil="true"/>
    <TPApplication xmlns="4873beb7-5857-4685-be1f-d57550cc96cc" xsi:nil="true"/>
    <CSXHash xmlns="4873beb7-5857-4685-be1f-d57550cc96cc" xsi:nil="true"/>
    <DirectSourceMarket xmlns="4873beb7-5857-4685-be1f-d57550cc96cc" xsi:nil="true"/>
    <PrimaryImageGen xmlns="4873beb7-5857-4685-be1f-d57550cc96cc">false</PrimaryImageGen>
    <PlannedPubDate xmlns="4873beb7-5857-4685-be1f-d57550cc96cc" xsi:nil="true"/>
    <CSXSubmissionMarket xmlns="4873beb7-5857-4685-be1f-d57550cc96cc" xsi:nil="true"/>
    <Downloads xmlns="4873beb7-5857-4685-be1f-d57550cc96cc">0</Downloads>
    <ArtSampleDocs xmlns="4873beb7-5857-4685-be1f-d57550cc96cc" xsi:nil="true"/>
    <TrustLevel xmlns="4873beb7-5857-4685-be1f-d57550cc96cc">1 Microsoft Managed Content</TrustLevel>
    <BlockPublish xmlns="4873beb7-5857-4685-be1f-d57550cc96cc">false</BlockPublish>
    <TPLaunchHelpLinkType xmlns="4873beb7-5857-4685-be1f-d57550cc96cc">Template</TPLaunchHelpLinkType>
    <LocalizationTagsTaxHTField0 xmlns="4873beb7-5857-4685-be1f-d57550cc96cc">
      <Terms xmlns="http://schemas.microsoft.com/office/infopath/2007/PartnerControls"/>
    </LocalizationTagsTaxHTField0>
    <BusinessGroup xmlns="4873beb7-5857-4685-be1f-d57550cc96cc" xsi:nil="true"/>
    <Providers xmlns="4873beb7-5857-4685-be1f-d57550cc96cc" xsi:nil="true"/>
    <TemplateTemplateType xmlns="4873beb7-5857-4685-be1f-d57550cc96cc">Excel Spreadsheet Template</TemplateTemplateType>
    <TimesCloned xmlns="4873beb7-5857-4685-be1f-d57550cc96cc" xsi:nil="true"/>
    <TPAppVersion xmlns="4873beb7-5857-4685-be1f-d57550cc96cc" xsi:nil="true"/>
    <VoteCount xmlns="4873beb7-5857-4685-be1f-d57550cc96cc" xsi:nil="true"/>
    <AverageRating xmlns="4873beb7-5857-4685-be1f-d57550cc96cc" xsi:nil="true"/>
    <FeatureTagsTaxHTField0 xmlns="4873beb7-5857-4685-be1f-d57550cc96cc">
      <Terms xmlns="http://schemas.microsoft.com/office/infopath/2007/PartnerControls"/>
    </FeatureTagsTaxHTField0>
    <Provider xmlns="4873beb7-5857-4685-be1f-d57550cc96cc" xsi:nil="true"/>
    <UACurrentWords xmlns="4873beb7-5857-4685-be1f-d57550cc96cc" xsi:nil="true"/>
    <AssetId xmlns="4873beb7-5857-4685-be1f-d57550cc96cc">TP103458065</AssetId>
    <TPClientViewer xmlns="4873beb7-5857-4685-be1f-d57550cc96cc" xsi:nil="true"/>
    <DSATActionTaken xmlns="4873beb7-5857-4685-be1f-d57550cc96cc" xsi:nil="true"/>
    <APEditor xmlns="4873beb7-5857-4685-be1f-d57550cc96cc">
      <UserInfo>
        <DisplayName/>
        <AccountId xsi:nil="true"/>
        <AccountType/>
      </UserInfo>
    </APEditor>
    <TPInstallLocation xmlns="4873beb7-5857-4685-be1f-d57550cc96cc" xsi:nil="true"/>
    <OOCacheId xmlns="4873beb7-5857-4685-be1f-d57550cc96cc" xsi:nil="true"/>
    <IsDeleted xmlns="4873beb7-5857-4685-be1f-d57550cc96cc">false</IsDeleted>
    <PublishTargets xmlns="4873beb7-5857-4685-be1f-d57550cc96cc">OfficeOnlineVNext</PublishTargets>
    <ApprovalLog xmlns="4873beb7-5857-4685-be1f-d57550cc96cc" xsi:nil="true"/>
    <BugNumber xmlns="4873beb7-5857-4685-be1f-d57550cc96cc" xsi:nil="true"/>
    <CrawlForDependencies xmlns="4873beb7-5857-4685-be1f-d57550cc96cc">false</CrawlForDependencies>
    <InternalTagsTaxHTField0 xmlns="4873beb7-5857-4685-be1f-d57550cc96cc">
      <Terms xmlns="http://schemas.microsoft.com/office/infopath/2007/PartnerControls"/>
    </InternalTagsTaxHTField0>
    <LastHandOff xmlns="4873beb7-5857-4685-be1f-d57550cc96cc" xsi:nil="true"/>
    <Milestone xmlns="4873beb7-5857-4685-be1f-d57550cc96cc" xsi:nil="true"/>
    <OriginalRelease xmlns="4873beb7-5857-4685-be1f-d57550cc96cc">15</OriginalRelease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UANotes xmlns="4873beb7-5857-4685-be1f-d57550cc96c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4D866BB-53A8-4AA2-8213-3C5DD1E767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A85211-E3EF-4462-8EF7-B98D9AD79D9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4873beb7-5857-4685-be1f-d57550cc96cc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0BE4E2F-F9E2-47EA-9749-00C2632BC6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13</vt:i4>
      </vt:variant>
    </vt:vector>
  </HeadingPairs>
  <TitlesOfParts>
    <vt:vector size="25" baseType="lpstr">
      <vt:lpstr>OCK</vt:lpstr>
      <vt:lpstr>SBT</vt:lpstr>
      <vt:lpstr>MRT</vt:lpstr>
      <vt:lpstr>NSN</vt:lpstr>
      <vt:lpstr>MYS</vt:lpstr>
      <vt:lpstr>HZN</vt:lpstr>
      <vt:lpstr>TMZ</vt:lpstr>
      <vt:lpstr>AGU</vt:lpstr>
      <vt:lpstr>EYL</vt:lpstr>
      <vt:lpstr>EKM</vt:lpstr>
      <vt:lpstr>KSM</vt:lpstr>
      <vt:lpstr>ARK</vt:lpstr>
      <vt:lpstr>CalendarYear</vt:lpstr>
      <vt:lpstr>AGU!Print_Area</vt:lpstr>
      <vt:lpstr>ARK!Print_Area</vt:lpstr>
      <vt:lpstr>EKM!Print_Area</vt:lpstr>
      <vt:lpstr>EYL!Print_Area</vt:lpstr>
      <vt:lpstr>HZN!Print_Area</vt:lpstr>
      <vt:lpstr>KSM!Print_Area</vt:lpstr>
      <vt:lpstr>MRT!Print_Area</vt:lpstr>
      <vt:lpstr>MYS!Print_Area</vt:lpstr>
      <vt:lpstr>NSN!Print_Area</vt:lpstr>
      <vt:lpstr>OCK!Print_Area</vt:lpstr>
      <vt:lpstr>SBT!Print_Area</vt:lpstr>
      <vt:lpstr>TMZ!Print_Area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Elif Balcioglu</dc:creator>
  <cp:lastModifiedBy>TED18003 Projesi</cp:lastModifiedBy>
  <cp:lastPrinted>2021-11-18T09:48:19Z</cp:lastPrinted>
  <dcterms:created xsi:type="dcterms:W3CDTF">2012-09-17T22:36:33Z</dcterms:created>
  <dcterms:modified xsi:type="dcterms:W3CDTF">2021-11-22T12:42:14Z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0x0101006EDDDB5EE6D98C44930B742096920B300400F5B6D36B3EF94B4E9A635CDF2A18F5B8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</Properties>
</file>