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"/>
    </mc:Choice>
  </mc:AlternateContent>
  <xr:revisionPtr revIDLastSave="0" documentId="8_{87512F63-0E6F-4B01-A69A-4B2DEAFBD6D8}" xr6:coauthVersionLast="46" xr6:coauthVersionMax="46" xr10:uidLastSave="{00000000-0000-0000-0000-000000000000}"/>
  <bookViews>
    <workbookView xWindow="-110" yWindow="-110" windowWidth="19420" windowHeight="10420" tabRatio="611" activeTab="11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SBT!$A$1:$P$88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8" l="1"/>
  <c r="O21" i="9" l="1"/>
  <c r="M21" i="9"/>
  <c r="K21" i="9"/>
  <c r="C34" i="9" l="1"/>
  <c r="E34" i="9"/>
  <c r="G34" i="9"/>
  <c r="I34" i="9"/>
  <c r="K34" i="9"/>
  <c r="I6" i="19" l="1"/>
  <c r="I6" i="17"/>
  <c r="I6" i="16"/>
  <c r="I6" i="15"/>
  <c r="I6" i="14"/>
  <c r="I6" i="13"/>
  <c r="I6" i="12"/>
  <c r="I6" i="11"/>
  <c r="E73" i="10"/>
  <c r="C73" i="10"/>
  <c r="O60" i="10"/>
  <c r="E73" i="6"/>
  <c r="C73" i="6"/>
  <c r="O60" i="6"/>
  <c r="M60" i="6"/>
  <c r="K60" i="6"/>
  <c r="I60" i="6"/>
  <c r="E73" i="9"/>
  <c r="C73" i="9"/>
  <c r="O60" i="9"/>
  <c r="M60" i="9"/>
  <c r="K60" i="9"/>
  <c r="I60" i="9"/>
  <c r="I6" i="10"/>
  <c r="I6" i="9"/>
  <c r="G60" i="6"/>
  <c r="E60" i="6"/>
  <c r="C60" i="6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E73" i="11"/>
  <c r="C73" i="11"/>
  <c r="O60" i="11"/>
  <c r="M60" i="11"/>
  <c r="K60" i="11"/>
  <c r="I60" i="11"/>
  <c r="G60" i="11"/>
  <c r="E60" i="11"/>
  <c r="C60" i="11"/>
  <c r="O47" i="11"/>
  <c r="M47" i="11"/>
  <c r="K47" i="11"/>
  <c r="I47" i="11"/>
  <c r="G47" i="11"/>
  <c r="E47" i="11"/>
  <c r="C47" i="11"/>
  <c r="O34" i="11"/>
  <c r="M34" i="11"/>
  <c r="K34" i="11"/>
  <c r="I34" i="11"/>
  <c r="G34" i="11"/>
  <c r="E34" i="11"/>
  <c r="C34" i="11"/>
  <c r="O21" i="11"/>
  <c r="M21" i="11"/>
  <c r="K21" i="11"/>
  <c r="I21" i="11"/>
  <c r="G21" i="11"/>
  <c r="E21" i="11"/>
  <c r="C21" i="11"/>
  <c r="O8" i="11"/>
  <c r="M8" i="11"/>
  <c r="K8" i="11"/>
  <c r="I8" i="11"/>
  <c r="G8" i="11"/>
  <c r="E8" i="11"/>
  <c r="C8" i="11"/>
  <c r="E73" i="12"/>
  <c r="C73" i="12"/>
  <c r="O60" i="12"/>
  <c r="M60" i="12"/>
  <c r="K60" i="12"/>
  <c r="I60" i="12"/>
  <c r="G60" i="12"/>
  <c r="E60" i="12"/>
  <c r="C60" i="12"/>
  <c r="O47" i="12"/>
  <c r="M47" i="12"/>
  <c r="K47" i="12"/>
  <c r="I47" i="12"/>
  <c r="G47" i="12"/>
  <c r="E47" i="12"/>
  <c r="C47" i="12"/>
  <c r="O34" i="12"/>
  <c r="M34" i="12"/>
  <c r="K34" i="12"/>
  <c r="I34" i="12"/>
  <c r="G34" i="12"/>
  <c r="E34" i="12"/>
  <c r="C34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C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G60" i="18"/>
  <c r="E60" i="18"/>
  <c r="C60" i="18"/>
  <c r="O47" i="18"/>
  <c r="M47" i="18"/>
  <c r="K47" i="18"/>
  <c r="I47" i="18"/>
  <c r="G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K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G60" i="9"/>
  <c r="E60" i="9"/>
  <c r="C60" i="9"/>
  <c r="O47" i="9"/>
  <c r="M47" i="9"/>
  <c r="K47" i="9"/>
  <c r="I47" i="9"/>
  <c r="G47" i="9"/>
  <c r="E47" i="9"/>
  <c r="C47" i="9"/>
  <c r="O34" i="9"/>
  <c r="M34" i="9"/>
  <c r="I21" i="9"/>
  <c r="G21" i="9"/>
  <c r="E21" i="9"/>
  <c r="C21" i="9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<sst xmlns="http://schemas.openxmlformats.org/spreadsheetml/2006/main" count="1793" uniqueCount="213">
  <si>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</si>
  <si>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</si>
  <si>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</si>
  <si>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</si>
  <si>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</si>
  <si>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</si>
  <si>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</si>
  <si>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</si>
  <si>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</si>
  <si>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</si>
  <si>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</si>
  <si>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</si>
  <si>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</si>
  <si>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</si>
  <si>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</si>
  <si>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</si>
  <si>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</si>
  <si>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</si>
  <si>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</si>
  <si>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</si>
  <si>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</si>
  <si>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</si>
  <si>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</si>
  <si>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</si>
  <si>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</si>
  <si>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</si>
  <si>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</si>
  <si>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</si>
  <si>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</si>
  <si>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</si>
  <si>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TATLI,İÇECEK VS.</t>
  </si>
  <si>
    <t>EZOGELİN ÇORBA</t>
  </si>
  <si>
    <t>TATİL</t>
  </si>
  <si>
    <t>GEMİCİ USULÜ KURUFASÜLYE</t>
  </si>
  <si>
    <t>PİZZA</t>
  </si>
  <si>
    <t>TEL ŞEHRİYELİ PİRİNÇ PİLAV</t>
  </si>
  <si>
    <t>BONFRİT CİPS</t>
  </si>
  <si>
    <t>YEŞİL ELMA</t>
  </si>
  <si>
    <t>AYRAN</t>
  </si>
  <si>
    <t>CACIK</t>
  </si>
  <si>
    <t>MEYVE</t>
  </si>
  <si>
    <t>EKŞİLİ TARHANA</t>
  </si>
  <si>
    <t>DOMATES ÇORBA</t>
  </si>
  <si>
    <t>SOSLU YOĞURT ÇORBA</t>
  </si>
  <si>
    <t>MERCİMEK ÇORBA</t>
  </si>
  <si>
    <t>TAVUKSUYU ÇORBA</t>
  </si>
  <si>
    <t>TAZE FASÜLYE</t>
  </si>
  <si>
    <t>KÖRİ SOSLU PİLİÇ</t>
  </si>
  <si>
    <t>HARPUT KÖFTE</t>
  </si>
  <si>
    <t>EKMEK ARASI ET DÖNER</t>
  </si>
  <si>
    <t>KIYMALI YEŞİLMERCİMEK</t>
  </si>
  <si>
    <t>GÖZLEME</t>
  </si>
  <si>
    <t>SADE BULGUR PİLAVI</t>
  </si>
  <si>
    <t>MAKARNA</t>
  </si>
  <si>
    <t>SEBZELİ PİRİNÇ PİLAVI</t>
  </si>
  <si>
    <t>CİPS</t>
  </si>
  <si>
    <t>ARPA ŞEHRİYELİ PİRİNÇ PİLAV</t>
  </si>
  <si>
    <t>YOĞURT</t>
  </si>
  <si>
    <t>ŞEKERPARE</t>
  </si>
  <si>
    <t>ÜZÜM KOMPOSTO</t>
  </si>
  <si>
    <t>SÜTLÜ İRMİK TATLI</t>
  </si>
  <si>
    <t>SÖĞÜŞ DOMATES SALATALIK</t>
  </si>
  <si>
    <t>ZEYTİNLİ SALATA</t>
  </si>
  <si>
    <t>PATATES SALATA</t>
  </si>
  <si>
    <t>GAVURDAĞ SALATA</t>
  </si>
  <si>
    <t>ARMUT SANTAMARİA</t>
  </si>
  <si>
    <t>MEVSİM SALATA</t>
  </si>
  <si>
    <t>TEL ŞEHRİYE ÇORBA</t>
  </si>
  <si>
    <t>KREMALI TAVUK ÇORBA</t>
  </si>
  <si>
    <t>BEZELYE YEMEĞİ</t>
  </si>
  <si>
    <t>ETLİ FIRIN KEBAP</t>
  </si>
  <si>
    <t>CHİCKEN FİLETO</t>
  </si>
  <si>
    <t>EKMEK ARASI KÖFTE</t>
  </si>
  <si>
    <t>GEMİCİ USULÜ NOHUT</t>
  </si>
  <si>
    <t>MENEMEN</t>
  </si>
  <si>
    <t>TEL ŞEHRİYELİ BULGUR PİLAV</t>
  </si>
  <si>
    <t>SEBZELİ PATATES PÜRE</t>
  </si>
  <si>
    <t>PATATES CİPSİ</t>
  </si>
  <si>
    <t>MİLFÖY BÖREK</t>
  </si>
  <si>
    <t>UN HELVASI</t>
  </si>
  <si>
    <t xml:space="preserve">AĞLAYAN PASTA </t>
  </si>
  <si>
    <t>MANDALİNA</t>
  </si>
  <si>
    <t>YEŞİL SALATA</t>
  </si>
  <si>
    <t>SEBZE GARNİTÜR</t>
  </si>
  <si>
    <t>KIRMIZI LAHANA SALATA</t>
  </si>
  <si>
    <t>MEYVE SUYU</t>
  </si>
  <si>
    <t>MISIR ÇORBASI</t>
  </si>
  <si>
    <t>SOSLU MERCİMEK ÇORBA</t>
  </si>
  <si>
    <t>ŞEFİN ÇORBA</t>
  </si>
  <si>
    <t>HAVUÇ ÇORBA</t>
  </si>
  <si>
    <t>,</t>
  </si>
  <si>
    <t>ETLİ PATATES YEMEĞİ</t>
  </si>
  <si>
    <t>TAVUK ÇÖKERTME</t>
  </si>
  <si>
    <t>ÇITIR BALIK</t>
  </si>
  <si>
    <t>KIYMALI KURUFASÜLYE</t>
  </si>
  <si>
    <t>TAVUK TANTUNİ</t>
  </si>
  <si>
    <t>SOSLU MAKARNA</t>
  </si>
  <si>
    <t>PİRİNÇ PİLAVI</t>
  </si>
  <si>
    <t>ELMA DİLİM PATATES</t>
  </si>
  <si>
    <t>KAZANDİBİ TATLI</t>
  </si>
  <si>
    <t>SADE TAHİN HELVA</t>
  </si>
  <si>
    <t>SPECİAL TATLI</t>
  </si>
  <si>
    <t>HAVUÇ  SALATA</t>
  </si>
  <si>
    <t>İTALYAN SALATA</t>
  </si>
  <si>
    <t>MURADİYE ÇORBASI</t>
  </si>
  <si>
    <t>TARHANA ÇORBA</t>
  </si>
  <si>
    <t>MEVSİM TÜRLÜ</t>
  </si>
  <si>
    <t>TAVUK DÖNER</t>
  </si>
  <si>
    <t>SEBZELİ KÖFTE</t>
  </si>
  <si>
    <t>TAS KEBABI</t>
  </si>
  <si>
    <t>MANTI</t>
  </si>
  <si>
    <t>FIRIN BAGET</t>
  </si>
  <si>
    <t>NOHUTLU PİLAV</t>
  </si>
  <si>
    <t>Y. MERCİMEKLİ BULGUR PİLAV</t>
  </si>
  <si>
    <t>KEŞKEK</t>
  </si>
  <si>
    <t>SEBZE SOTE(KABK,HVÇ,PTS)</t>
  </si>
  <si>
    <t>MAGNOLYA</t>
  </si>
  <si>
    <t>PORTAKALLI REVANİ</t>
  </si>
  <si>
    <t xml:space="preserve"> SPECİAL  SALATA</t>
  </si>
  <si>
    <t>MISIRLI SALATA</t>
  </si>
  <si>
    <t>ÇOBAN SALATA</t>
  </si>
  <si>
    <t>KISIR SALATA</t>
  </si>
  <si>
    <t>KARIŞIK SALATA</t>
  </si>
  <si>
    <t>TEDARİK VE MENÜ UYUMSUZLUĞU DURUMLARINDA MENÜ DE DEĞİŞİKLİK OLABİLİR.</t>
  </si>
  <si>
    <t>YAYLA ÇORBA</t>
  </si>
  <si>
    <t>KAŞARLI DOMATES ÇORBA</t>
  </si>
  <si>
    <t>ET DÖNER</t>
  </si>
  <si>
    <t>KISIR</t>
  </si>
  <si>
    <t>BULGUR PİLAVI</t>
  </si>
  <si>
    <t>AKDENİZ SALATA</t>
  </si>
  <si>
    <t>DİRSEK MAKARNA</t>
  </si>
  <si>
    <t>ARPA ŞEHİRYE ÇORBA</t>
  </si>
  <si>
    <t>TAVUK ELBASAN</t>
  </si>
  <si>
    <t>HAVUÇ SALATASI</t>
  </si>
  <si>
    <t>DOMATES ÇORBASI</t>
  </si>
  <si>
    <t>NOHUT YEMEĞİ</t>
  </si>
  <si>
    <t>SÜTLÜ İRMİK TATLISI</t>
  </si>
  <si>
    <t>YAYLA ÇORBASI</t>
  </si>
  <si>
    <t>ORMAN KEBABI</t>
  </si>
  <si>
    <t>ERİŞTE KAVURMA</t>
  </si>
  <si>
    <t>COLESLAW SALATA</t>
  </si>
  <si>
    <t xml:space="preserve">TATİL </t>
  </si>
  <si>
    <t>KIYMALI YEŞİL MERCİMEK</t>
  </si>
  <si>
    <t>EKŞİLİ TARHANA ÇORBA</t>
  </si>
  <si>
    <t>TAVUK PİRZOLA</t>
  </si>
  <si>
    <t>SEBZELİ BULGUR PİLAV</t>
  </si>
  <si>
    <t>PATATES MUSAKKA</t>
  </si>
  <si>
    <t>BURGU MAKARNA</t>
  </si>
  <si>
    <t>KEMALPAŞA TATLI</t>
  </si>
  <si>
    <t>PIRASA YEMEĞİ</t>
  </si>
  <si>
    <t>PEYNİRLİ GÜL BÖREĞİ</t>
  </si>
  <si>
    <t>ETİMEK TATLISI</t>
  </si>
  <si>
    <t>DOMATES SALATALIK SÖĞÜŞ</t>
  </si>
  <si>
    <t>TAVUKLU BODRUM ÇÖKERTME</t>
  </si>
  <si>
    <t>KREMALI MISIR ÇORBA</t>
  </si>
  <si>
    <t>KREMALI SEBZE ÇORBA</t>
  </si>
  <si>
    <t>KURUFASÜLYE</t>
  </si>
  <si>
    <t>ARPA ŞEHRİYE</t>
  </si>
  <si>
    <t>ŞEFİN ÇORBASI</t>
  </si>
  <si>
    <t>KIYMALI PATATES YEMEĞİ</t>
  </si>
  <si>
    <t>SEBZELİ BULGUR PİLAVI</t>
  </si>
  <si>
    <t>SÜZME MERCİMEK ÇORBA</t>
  </si>
  <si>
    <t>İZMİR KÖFTE</t>
  </si>
  <si>
    <t>BARBUNYA YEMEĞİ</t>
  </si>
  <si>
    <t>SCHNİTZEL</t>
  </si>
  <si>
    <t>HÜNKAR ÇORBA</t>
  </si>
  <si>
    <t>SEBZE SOTE</t>
  </si>
  <si>
    <t>EKMEK ARASI TAVUK DÖNER</t>
  </si>
  <si>
    <t>SEBZE GARNİ</t>
  </si>
  <si>
    <t>KARNIYARIK</t>
  </si>
  <si>
    <t>FINDIKLI MUHALLEBİ</t>
  </si>
  <si>
    <t>ÖĞLE YEMEĞİ</t>
  </si>
  <si>
    <t>TEDARİK VE MENÜ UYUMSUZLUĞU GİBİ DURUMLARDA DEĞİŞİKLİK OLABİLİR!!!</t>
  </si>
  <si>
    <t>HAMBURGER</t>
  </si>
  <si>
    <t>PATATES PÜRESİ</t>
  </si>
  <si>
    <t>SEBZELİ BEZELYE YEMEĞİ</t>
  </si>
  <si>
    <t>KALBURABASTI TATLI</t>
  </si>
  <si>
    <t>İRMİK HELVASI</t>
  </si>
  <si>
    <t>KALEM MAKARNA</t>
  </si>
  <si>
    <t>KÖFTE/PATATES</t>
  </si>
  <si>
    <t>GÜL BÖREĞİ</t>
  </si>
  <si>
    <t>KAKAOLU PUDİNG</t>
  </si>
  <si>
    <t>TAVUK BURGER</t>
  </si>
  <si>
    <t>TURŞU</t>
  </si>
  <si>
    <t>PATATES</t>
  </si>
  <si>
    <t>SAKIZLI MUHALLEBİ</t>
  </si>
  <si>
    <t>SOSLU FIRIN KÖFTE</t>
  </si>
  <si>
    <t>MAKARNA SALATA</t>
  </si>
  <si>
    <t>SALATA</t>
  </si>
  <si>
    <t>SÜTLAÇ</t>
  </si>
  <si>
    <t>SEBZE ÇORBA</t>
  </si>
  <si>
    <t>YOĞURTLU BUĞDAY ÇORBA</t>
  </si>
  <si>
    <t>SOSLU MİSKET KÖFTE</t>
  </si>
  <si>
    <t>ARPA ŞEH. PİRİNÇ PİLAVI</t>
  </si>
  <si>
    <t>MUHALLEBİ</t>
  </si>
  <si>
    <t>KIŞ ÇORBASI</t>
  </si>
  <si>
    <t>BARBUNYA</t>
  </si>
  <si>
    <t>SADE  PİRİNÇ PİLAVI</t>
  </si>
  <si>
    <t>ARPAŞEHRİYELİ PİRİNÇ PİLAV</t>
  </si>
  <si>
    <t>EKŞİLİ KÖFTE</t>
  </si>
  <si>
    <t>ETLİ SULTAN KEBABI</t>
  </si>
  <si>
    <t>MEYHANE PİLAVI</t>
  </si>
  <si>
    <t>PATLICAN SALATASI</t>
  </si>
  <si>
    <t>REVANİ TATLI</t>
  </si>
  <si>
    <t>HAVUÇLU SALATA</t>
  </si>
  <si>
    <t>TEDARİK VE MENÜ UYUMSUZLUĞU GİBİ DURUMLARDA MENÜ DEĞİŞİKLİĞİ OLABİLİR!!!</t>
  </si>
  <si>
    <t>HİNDİLİ TİFTİK KEBAP</t>
  </si>
  <si>
    <t>SEBZELİ PİRİNÇ OİLAVI</t>
  </si>
  <si>
    <t>KARNABAHAR GRATEN</t>
  </si>
  <si>
    <t>KIYMALI PIRASA YEMEĞİ</t>
  </si>
  <si>
    <t>ETLİ KURUFASÜLYE</t>
  </si>
  <si>
    <t>ETLİ SEBZELİ FIRIN KEBAP( PATATES)</t>
  </si>
  <si>
    <t>ETLİ NOHUT YEMEĞİ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</si>
</sst>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63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48"/>
      <color rgb="FFF9A23B"/>
      <name val="Cambria"/>
      <family val="1"/>
      <charset val="162"/>
      <scheme val="minor"/>
    </font>
    <font>
      <sz val="26"/>
      <color rgb="FFFF0000"/>
      <name val="Cambria"/>
      <family val="1"/>
      <charset val="162"/>
      <scheme val="minor"/>
    </font>
    <font>
      <sz val="22"/>
      <color rgb="FFFF0000"/>
      <name val="Cambria"/>
      <family val="1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7" fillId="0" borderId="12" xfId="0" applyFont="1" applyBorder="1"/>
    <xf numFmtId="0" fontId="38" fillId="0" borderId="13" xfId="0" applyFont="1" applyBorder="1" applyAlignment="1">
      <alignment vertical="center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39" fillId="5" borderId="13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39" fillId="5" borderId="11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9" fillId="4" borderId="13" xfId="1" applyFont="1" applyFill="1" applyBorder="1" applyAlignment="1">
      <alignment horizontal="center" vertical="center" wrapText="1"/>
    </xf>
    <xf numFmtId="0" fontId="39" fillId="4" borderId="11" xfId="1" applyFont="1" applyFill="1" applyBorder="1" applyAlignment="1">
      <alignment horizontal="center" vertical="center" wrapText="1"/>
    </xf>
    <xf numFmtId="0" fontId="42" fillId="0" borderId="0" xfId="1" applyFont="1"/>
    <xf numFmtId="0" fontId="43" fillId="0" borderId="0" xfId="1" applyFont="1"/>
    <xf numFmtId="0" fontId="44" fillId="5" borderId="0" xfId="1" applyFont="1" applyFill="1" applyAlignment="1">
      <alignment vertical="center" wrapText="1"/>
    </xf>
    <xf numFmtId="0" fontId="42" fillId="5" borderId="0" xfId="1" applyFont="1" applyFill="1"/>
    <xf numFmtId="0" fontId="46" fillId="0" borderId="0" xfId="1" applyFont="1" applyFill="1" applyAlignment="1">
      <alignment horizontal="right"/>
    </xf>
    <xf numFmtId="0" fontId="43" fillId="5" borderId="0" xfId="1" applyFont="1" applyFill="1"/>
    <xf numFmtId="0" fontId="47" fillId="0" borderId="0" xfId="1" applyFont="1"/>
    <xf numFmtId="165" fontId="43" fillId="0" borderId="0" xfId="1" applyNumberFormat="1" applyFont="1" applyBorder="1" applyAlignment="1">
      <alignment vertical="center"/>
    </xf>
    <xf numFmtId="165" fontId="46" fillId="0" borderId="0" xfId="1" applyNumberFormat="1" applyFont="1" applyBorder="1" applyAlignment="1">
      <alignment vertical="center"/>
    </xf>
    <xf numFmtId="165" fontId="46" fillId="0" borderId="2" xfId="1" applyNumberFormat="1" applyFont="1" applyBorder="1" applyAlignment="1">
      <alignment horizontal="right" vertical="center"/>
    </xf>
    <xf numFmtId="165" fontId="42" fillId="0" borderId="0" xfId="1" applyNumberFormat="1" applyFont="1" applyBorder="1" applyAlignment="1">
      <alignment vertical="center"/>
    </xf>
    <xf numFmtId="0" fontId="48" fillId="0" borderId="3" xfId="0" applyFont="1" applyBorder="1"/>
    <xf numFmtId="0" fontId="49" fillId="0" borderId="10" xfId="2" applyFont="1" applyFill="1" applyBorder="1" applyAlignment="1">
      <alignment horizontal="center" vertical="center"/>
    </xf>
    <xf numFmtId="0" fontId="48" fillId="0" borderId="0" xfId="0" applyFont="1"/>
    <xf numFmtId="166" fontId="48" fillId="0" borderId="0" xfId="0" applyNumberFormat="1" applyFont="1"/>
    <xf numFmtId="164" fontId="50" fillId="4" borderId="3" xfId="1" applyNumberFormat="1" applyFont="1" applyFill="1" applyBorder="1" applyAlignment="1">
      <alignment horizontal="center" vertical="center" wrapText="1"/>
    </xf>
    <xf numFmtId="0" fontId="51" fillId="0" borderId="0" xfId="1" applyFont="1"/>
    <xf numFmtId="0" fontId="52" fillId="0" borderId="11" xfId="0" applyFont="1" applyBorder="1"/>
    <xf numFmtId="0" fontId="53" fillId="4" borderId="13" xfId="1" applyFont="1" applyFill="1" applyBorder="1" applyAlignment="1">
      <alignment horizontal="center" vertical="center" wrapText="1"/>
    </xf>
    <xf numFmtId="0" fontId="54" fillId="4" borderId="13" xfId="1" applyFont="1" applyFill="1" applyBorder="1" applyAlignment="1">
      <alignment horizontal="center" vertical="center" wrapText="1"/>
    </xf>
    <xf numFmtId="0" fontId="53" fillId="4" borderId="4" xfId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vertical="center" textRotation="90"/>
    </xf>
    <xf numFmtId="0" fontId="53" fillId="4" borderId="11" xfId="1" applyFont="1" applyFill="1" applyBorder="1" applyAlignment="1">
      <alignment horizontal="center" vertical="center" wrapText="1"/>
    </xf>
    <xf numFmtId="0" fontId="54" fillId="4" borderId="11" xfId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6" fillId="0" borderId="12" xfId="0" applyFont="1" applyBorder="1"/>
    <xf numFmtId="0" fontId="53" fillId="4" borderId="12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center" wrapText="1"/>
    </xf>
    <xf numFmtId="0" fontId="53" fillId="4" borderId="7" xfId="1" applyFont="1" applyFill="1" applyBorder="1" applyAlignment="1">
      <alignment horizontal="center" vertical="center" wrapText="1"/>
    </xf>
    <xf numFmtId="0" fontId="53" fillId="5" borderId="13" xfId="1" applyFont="1" applyFill="1" applyBorder="1" applyAlignment="1">
      <alignment horizontal="center" vertical="center" wrapText="1"/>
    </xf>
    <xf numFmtId="0" fontId="54" fillId="5" borderId="13" xfId="1" applyFont="1" applyFill="1" applyBorder="1" applyAlignment="1">
      <alignment horizontal="center" vertical="center" wrapText="1"/>
    </xf>
    <xf numFmtId="0" fontId="53" fillId="5" borderId="4" xfId="1" applyFont="1" applyFill="1" applyBorder="1" applyAlignment="1">
      <alignment horizontal="center" vertical="center" wrapText="1"/>
    </xf>
    <xf numFmtId="0" fontId="53" fillId="5" borderId="11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3" fillId="5" borderId="0" xfId="1" applyFont="1" applyFill="1" applyBorder="1" applyAlignment="1">
      <alignment horizontal="center" vertical="center" wrapText="1"/>
    </xf>
    <xf numFmtId="0" fontId="53" fillId="5" borderId="12" xfId="1" applyFont="1" applyFill="1" applyBorder="1" applyAlignment="1">
      <alignment horizontal="center" vertical="center" wrapText="1"/>
    </xf>
    <xf numFmtId="0" fontId="57" fillId="5" borderId="12" xfId="1" applyFont="1" applyFill="1" applyBorder="1" applyAlignment="1">
      <alignment horizontal="center" vertical="center" wrapText="1"/>
    </xf>
    <xf numFmtId="0" fontId="53" fillId="5" borderId="7" xfId="1" applyFont="1" applyFill="1" applyBorder="1" applyAlignment="1">
      <alignment horizontal="center" vertical="center" wrapText="1"/>
    </xf>
    <xf numFmtId="164" fontId="45" fillId="7" borderId="3" xfId="1" applyNumberFormat="1" applyFont="1" applyFill="1" applyBorder="1" applyAlignment="1">
      <alignment horizontal="left" vertical="top" wrapText="1"/>
    </xf>
    <xf numFmtId="164" fontId="45" fillId="7" borderId="9" xfId="1" applyNumberFormat="1" applyFont="1" applyFill="1" applyBorder="1" applyAlignment="1">
      <alignment horizontal="left" vertical="top" wrapText="1"/>
    </xf>
    <xf numFmtId="0" fontId="58" fillId="0" borderId="0" xfId="1" applyFont="1" applyAlignment="1">
      <alignment horizontal="right"/>
    </xf>
    <xf numFmtId="0" fontId="43" fillId="0" borderId="0" xfId="1" applyFont="1" applyAlignment="1">
      <alignment horizontal="right"/>
    </xf>
    <xf numFmtId="0" fontId="58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9" fillId="0" borderId="0" xfId="5" applyFont="1"/>
    <xf numFmtId="0" fontId="54" fillId="0" borderId="0" xfId="5" applyFont="1"/>
    <xf numFmtId="165" fontId="60" fillId="0" borderId="0" xfId="1" applyNumberFormat="1" applyFont="1" applyBorder="1" applyAlignment="1">
      <alignment vertical="center"/>
    </xf>
    <xf numFmtId="165" fontId="61" fillId="0" borderId="0" xfId="1" applyNumberFormat="1" applyFont="1" applyBorder="1" applyAlignment="1">
      <alignment vertical="center"/>
    </xf>
    <xf numFmtId="0" fontId="53" fillId="8" borderId="11" xfId="1" applyFont="1" applyFill="1" applyBorder="1" applyAlignment="1">
      <alignment horizontal="center" vertical="center" wrapText="1"/>
    </xf>
    <xf numFmtId="0" fontId="53" fillId="8" borderId="0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22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18" fillId="0" borderId="4" xfId="1" applyFont="1" applyBorder="1" applyAlignment="1">
      <alignment horizontal="center" vertical="center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5" fillId="5" borderId="0" xfId="1" applyFont="1" applyFill="1" applyAlignment="1">
      <alignment horizontal="right"/>
    </xf>
    <xf numFmtId="165" fontId="42" fillId="0" borderId="2" xfId="1" applyNumberFormat="1" applyFont="1" applyBorder="1" applyAlignment="1">
      <alignment horizontal="right" vertical="center"/>
    </xf>
    <xf numFmtId="0" fontId="42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53" fillId="5" borderId="14" xfId="1" applyFont="1" applyFill="1" applyBorder="1" applyAlignment="1">
      <alignment horizontal="left" vertical="top" wrapText="1"/>
    </xf>
    <xf numFmtId="0" fontId="53" fillId="5" borderId="4" xfId="1" applyFont="1" applyFill="1" applyBorder="1" applyAlignment="1">
      <alignment horizontal="left" vertical="top" wrapText="1"/>
    </xf>
    <xf numFmtId="0" fontId="53" fillId="5" borderId="5" xfId="1" applyFont="1" applyFill="1" applyBorder="1" applyAlignment="1">
      <alignment horizontal="left" vertical="top" wrapText="1"/>
    </xf>
    <xf numFmtId="0" fontId="53" fillId="5" borderId="15" xfId="1" applyFont="1" applyFill="1" applyBorder="1" applyAlignment="1">
      <alignment horizontal="left" vertical="top" wrapText="1"/>
    </xf>
    <xf numFmtId="0" fontId="53" fillId="5" borderId="0" xfId="1" applyFont="1" applyFill="1" applyBorder="1" applyAlignment="1">
      <alignment horizontal="left" vertical="top" wrapText="1"/>
    </xf>
    <xf numFmtId="0" fontId="53" fillId="5" borderId="6" xfId="1" applyFont="1" applyFill="1" applyBorder="1" applyAlignment="1">
      <alignment horizontal="left" vertical="top" wrapText="1"/>
    </xf>
    <xf numFmtId="0" fontId="53" fillId="5" borderId="16" xfId="1" applyFont="1" applyFill="1" applyBorder="1" applyAlignment="1">
      <alignment horizontal="left" vertical="top" wrapText="1"/>
    </xf>
    <xf numFmtId="0" fontId="53" fillId="5" borderId="7" xfId="1" applyFont="1" applyFill="1" applyBorder="1" applyAlignment="1">
      <alignment horizontal="left" vertical="top" wrapText="1"/>
    </xf>
    <xf numFmtId="0" fontId="53" fillId="5" borderId="8" xfId="1" applyFont="1" applyFill="1" applyBorder="1" applyAlignment="1">
      <alignment horizontal="left" vertical="top" wrapText="1"/>
    </xf>
    <xf numFmtId="0" fontId="45" fillId="5" borderId="0" xfId="1" applyFont="1" applyFill="1" applyAlignment="1">
      <alignment horizontal="left"/>
    </xf>
    <xf numFmtId="165" fontId="60" fillId="0" borderId="7" xfId="1" applyNumberFormat="1" applyFont="1" applyBorder="1" applyAlignment="1">
      <alignment horizontal="right" vertical="center"/>
    </xf>
    <xf numFmtId="0" fontId="62" fillId="5" borderId="14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67A6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1028700</xdr:colOff>
      <xdr:row>0</xdr:row>
      <xdr:rowOff>254000</xdr:rowOff>
    </xdr:from>
    <xdr:to>
      <xdr:col>16</xdr:col>
      <xdr:colOff>199845</xdr:colOff>
      <xdr:row>5</xdr:row>
      <xdr:rowOff>560046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540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174445</xdr:colOff>
      <xdr:row>0</xdr:row>
      <xdr:rowOff>204446</xdr:rowOff>
    </xdr:from>
    <xdr:to>
      <xdr:col>16</xdr:col>
      <xdr:colOff>50801</xdr:colOff>
      <xdr:row>5</xdr:row>
      <xdr:rowOff>545384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31645" y="204446"/>
          <a:ext cx="24222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863600</xdr:colOff>
      <xdr:row>0</xdr:row>
      <xdr:rowOff>280646</xdr:rowOff>
    </xdr:from>
    <xdr:to>
      <xdr:col>16</xdr:col>
      <xdr:colOff>25399</xdr:colOff>
      <xdr:row>5</xdr:row>
      <xdr:rowOff>586692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80646"/>
          <a:ext cx="4952999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605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558801</xdr:colOff>
      <xdr:row>0</xdr:row>
      <xdr:rowOff>267946</xdr:rowOff>
    </xdr:from>
    <xdr:to>
      <xdr:col>15</xdr:col>
      <xdr:colOff>558801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1" y="267946"/>
          <a:ext cx="53721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1264920</xdr:colOff>
      <xdr:row>1</xdr:row>
      <xdr:rowOff>60960</xdr:rowOff>
    </xdr:from>
    <xdr:to>
      <xdr:col>16</xdr:col>
      <xdr:colOff>15241</xdr:colOff>
      <xdr:row>5</xdr:row>
      <xdr:rowOff>552815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96360" y="701040"/>
          <a:ext cx="4084321" cy="18634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zoomScale="50" zoomScaleNormal="50" workbookViewId="0">
      <selection activeCell="Q7" sqref="Q7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30" t="s">
        <v>26</v>
      </c>
      <c r="S1" s="130"/>
    </row>
    <row r="2" spans="1:88" ht="13.75" customHeight="1" x14ac:dyDescent="0.3">
      <c r="R2" s="130"/>
      <c r="S2" s="130"/>
    </row>
    <row r="3" spans="1:88" ht="19.399999999999999" customHeight="1" x14ac:dyDescent="0.3">
      <c r="B3" s="9"/>
      <c r="R3" s="130"/>
      <c r="S3" s="130"/>
      <c r="BB3" s="9"/>
      <c r="BC3" s="9"/>
      <c r="BD3" s="9"/>
    </row>
    <row r="4" spans="1:88" ht="43.75" customHeight="1" x14ac:dyDescent="0.65">
      <c r="B4" s="140"/>
      <c r="C4" s="140"/>
      <c r="R4" s="130"/>
      <c r="S4" s="130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2021</v>
      </c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0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>
        <f>IF(DAY(JanSun1)=1,"",IF(AND(YEAR(JanSun1+5)=CalendarYear,MONTH(JanSun1+5)=1),JanSun1+5,""))</f>
        <v>44197</v>
      </c>
      <c r="L8" s="61" t="s">
        <v>29</v>
      </c>
      <c r="M8" s="56">
        <f>IF(DAY(JanSun1)=1,"",IF(AND(YEAR(JanSun1+6)=CalendarYear,MONTH(JanSun1+6)=1),JanSun1+6,""))</f>
        <v>44198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44199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IF(DAY(JanSun1)=1,IF(AND(YEAR(JanSun1+1)=CalendarYear,MONTH(JanSun1+1)=1),JanSun1+1,""),IF(AND(YEAR(JanSun1+8)=CalendarYear,MONTH(JanSun1+8)=1),JanSun1+8,""))</f>
        <v>44200</v>
      </c>
      <c r="D21" s="61" t="s">
        <v>29</v>
      </c>
      <c r="E21" s="55">
        <f>IF(DAY(JanSun1)=1,IF(AND(YEAR(JanSun1+2)=CalendarYear,MONTH(JanSun1+2)=1),JanSun1+2,""),IF(AND(YEAR(JanSun1+9)=CalendarYear,MONTH(JanSun1+9)=1),JanSun1+9,""))</f>
        <v>44201</v>
      </c>
      <c r="F21" s="61" t="s">
        <v>29</v>
      </c>
      <c r="G21" s="56">
        <f>IF(DAY(JanSun1)=1,IF(AND(YEAR(JanSun1+3)=CalendarYear,MONTH(JanSun1+3)=1),JanSun1+3,""),IF(AND(YEAR(JanSun1+10)=CalendarYear,MONTH(JanSun1+10)=1),JanSun1+10,""))</f>
        <v>44202</v>
      </c>
      <c r="H21" s="61" t="s">
        <v>29</v>
      </c>
      <c r="I21" s="56">
        <f>IF(DAY(JanSun1)=1,IF(AND(YEAR(JanSun1+4)=CalendarYear,MONTH(JanSun1+4)=1),JanSun1+4,""),IF(AND(YEAR(JanSun1+11)=CalendarYear,MONTH(JanSun1+11)=1),JanSun1+11,""))</f>
        <v>44203</v>
      </c>
      <c r="J21" s="61" t="s">
        <v>29</v>
      </c>
      <c r="K21" s="56">
        <f>IF(DAY(JanSun1)=1,IF(AND(YEAR(JanSun1+5)=CalendarYear,MONTH(JanSun1+5)=1),JanSun1+5,""),IF(AND(YEAR(JanSun1+12)=CalendarYear,MONTH(JanSun1+12)=1),JanSun1+12,""))</f>
        <v>44204</v>
      </c>
      <c r="L21" s="61" t="s">
        <v>29</v>
      </c>
      <c r="M21" s="56">
        <f>IF(DAY(JanSun1)=1,IF(AND(YEAR(JanSun1+6)=CalendarYear,MONTH(JanSun1+6)=1),JanSun1+6,""),IF(AND(YEAR(JanSun1+13)=CalendarYear,MONTH(JanSun1+13)=1),JanSun1+13,""))</f>
        <v>44205</v>
      </c>
      <c r="N21" s="61" t="s">
        <v>29</v>
      </c>
      <c r="O21" s="56">
        <f>IF(DAY(JanSun1)=1,IF(AND(YEAR(JanSun1+7)=CalendarYear,MONTH(JanSun1+7)=1),JanSun1+7,""),IF(AND(YEAR(JanSun1+14)=CalendarYear,MONTH(JanSun1+14)=1),JanSun1+14,""))</f>
        <v>44206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IF(DAY(JanSun1)=1,IF(AND(YEAR(JanSun1+8)=CalendarYear,MONTH(JanSun1+8)=1),JanSun1+8,""),IF(AND(YEAR(JanSun1+15)=CalendarYear,MONTH(JanSun1+15)=1),JanSun1+15,""))</f>
        <v>44207</v>
      </c>
      <c r="D34" s="61" t="s">
        <v>29</v>
      </c>
      <c r="E34" s="55">
        <f>IF(DAY(JanSun1)=1,IF(AND(YEAR(JanSun1+9)=CalendarYear,MONTH(JanSun1+9)=1),JanSun1+9,""),IF(AND(YEAR(JanSun1+16)=CalendarYear,MONTH(JanSun1+16)=1),JanSun1+16,""))</f>
        <v>44208</v>
      </c>
      <c r="F34" s="61" t="s">
        <v>29</v>
      </c>
      <c r="G34" s="56">
        <f>IF(DAY(JanSun1)=1,IF(AND(YEAR(JanSun1+10)=CalendarYear,MONTH(JanSun1+10)=1),JanSun1+10,""),IF(AND(YEAR(JanSun1+17)=CalendarYear,MONTH(JanSun1+17)=1),JanSun1+17,""))</f>
        <v>44209</v>
      </c>
      <c r="H34" s="61" t="s">
        <v>29</v>
      </c>
      <c r="I34" s="56">
        <f>IF(DAY(JanSun1)=1,IF(AND(YEAR(JanSun1+11)=CalendarYear,MONTH(JanSun1+11)=1),JanSun1+11,""),IF(AND(YEAR(JanSun1+18)=CalendarYear,MONTH(JanSun1+18)=1),JanSun1+18,""))</f>
        <v>44210</v>
      </c>
      <c r="J34" s="61" t="s">
        <v>29</v>
      </c>
      <c r="K34" s="56">
        <f>IF(DAY(JanSun1)=1,IF(AND(YEAR(JanSun1+12)=CalendarYear,MONTH(JanSun1+12)=1),JanSun1+12,""),IF(AND(YEAR(JanSun1+19)=CalendarYear,MONTH(JanSun1+19)=1),JanSun1+19,""))</f>
        <v>44211</v>
      </c>
      <c r="L34" s="61" t="s">
        <v>29</v>
      </c>
      <c r="M34" s="56">
        <f>IF(DAY(JanSun1)=1,IF(AND(YEAR(JanSun1+13)=CalendarYear,MONTH(JanSun1+13)=1),JanSun1+13,""),IF(AND(YEAR(JanSun1+20)=CalendarYear,MONTH(JanSun1+20)=1),JanSun1+20,""))</f>
        <v>44212</v>
      </c>
      <c r="N34" s="61" t="s">
        <v>29</v>
      </c>
      <c r="O34" s="56">
        <f>IF(DAY(JanSun1)=1,IF(AND(YEAR(JanSun1+14)=CalendarYear,MONTH(JanSun1+14)=1),JanSun1+14,""),IF(AND(YEAR(JanSun1+21)=CalendarYear,MONTH(JanSun1+21)=1),JanSun1+21,""))</f>
        <v>44213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IF(DAY(JanSun1)=1,IF(AND(YEAR(JanSun1+15)=CalendarYear,MONTH(JanSun1+15)=1),JanSun1+15,""),IF(AND(YEAR(JanSun1+22)=CalendarYear,MONTH(JanSun1+22)=1),JanSun1+22,""))</f>
        <v>44214</v>
      </c>
      <c r="D47" s="61" t="s">
        <v>29</v>
      </c>
      <c r="E47" s="55">
        <f>IF(DAY(JanSun1)=1,IF(AND(YEAR(JanSun1+16)=CalendarYear,MONTH(JanSun1+16)=1),JanSun1+16,""),IF(AND(YEAR(JanSun1+23)=CalendarYear,MONTH(JanSun1+23)=1),JanSun1+23,""))</f>
        <v>44215</v>
      </c>
      <c r="F47" s="61" t="s">
        <v>29</v>
      </c>
      <c r="G47" s="56">
        <f>IF(DAY(JanSun1)=1,IF(AND(YEAR(JanSun1+17)=CalendarYear,MONTH(JanSun1+17)=1),JanSun1+17,""),IF(AND(YEAR(JanSun1+24)=CalendarYear,MONTH(JanSun1+24)=1),JanSun1+24,""))</f>
        <v>44216</v>
      </c>
      <c r="H47" s="61" t="s">
        <v>29</v>
      </c>
      <c r="I47" s="56">
        <f>IF(DAY(JanSun1)=1,IF(AND(YEAR(JanSun1+18)=CalendarYear,MONTH(JanSun1+18)=1),JanSun1+18,""),IF(AND(YEAR(JanSun1+25)=CalendarYear,MONTH(JanSun1+25)=1),JanSun1+25,""))</f>
        <v>44217</v>
      </c>
      <c r="J47" s="61" t="s">
        <v>29</v>
      </c>
      <c r="K47" s="56">
        <f>IF(DAY(JanSun1)=1,IF(AND(YEAR(JanSun1+19)=CalendarYear,MONTH(JanSun1+19)=1),JanSun1+19,""),IF(AND(YEAR(JanSun1+26)=CalendarYear,MONTH(JanSun1+26)=1),JanSun1+26,""))</f>
        <v>44218</v>
      </c>
      <c r="L47" s="61" t="s">
        <v>29</v>
      </c>
      <c r="M47" s="56">
        <f>IF(DAY(JanSun1)=1,IF(AND(YEAR(JanSun1+20)=CalendarYear,MONTH(JanSun1+20)=1),JanSun1+20,""),IF(AND(YEAR(JanSun1+27)=CalendarYear,MONTH(JanSun1+27)=1),JanSun1+27,""))</f>
        <v>44219</v>
      </c>
      <c r="N47" s="61" t="s">
        <v>29</v>
      </c>
      <c r="O47" s="56">
        <f>IF(DAY(JanSun1)=1,IF(AND(YEAR(JanSun1+21)=CalendarYear,MONTH(JanSun1+21)=1),JanSun1+21,""),IF(AND(YEAR(JanSun1+28)=CalendarYear,MONTH(JanSun1+28)=1),JanSun1+28,""))</f>
        <v>44220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IF(DAY(JanSun1)=1,IF(AND(YEAR(JanSun1+22)=CalendarYear,MONTH(JanSun1+22)=1),JanSun1+22,""),IF(AND(YEAR(JanSun1+29)=CalendarYear,MONTH(JanSun1+29)=1),JanSun1+29,""))</f>
        <v>44221</v>
      </c>
      <c r="D60" s="61" t="s">
        <v>29</v>
      </c>
      <c r="E60" s="55">
        <f>IF(DAY(JanSun1)=1,IF(AND(YEAR(JanSun1+23)=CalendarYear,MONTH(JanSun1+23)=1),JanSun1+23,""),IF(AND(YEAR(JanSun1+30)=CalendarYear,MONTH(JanSun1+30)=1),JanSun1+30,""))</f>
        <v>44222</v>
      </c>
      <c r="F60" s="61" t="s">
        <v>29</v>
      </c>
      <c r="G60" s="56">
        <f>IF(DAY(JanSun1)=1,IF(AND(YEAR(JanSun1+24)=CalendarYear,MONTH(JanSun1+24)=1),JanSun1+24,""),IF(AND(YEAR(JanSun1+31)=CalendarYear,MONTH(JanSun1+31)=1),JanSun1+31,""))</f>
        <v>44223</v>
      </c>
      <c r="H60" s="61" t="s">
        <v>29</v>
      </c>
      <c r="I60" s="56">
        <f>IF(DAY(JanSun1)=1,IF(AND(YEAR(JanSun1+25)=CalendarYear,MONTH(JanSun1+25)=1),JanSun1+25,""),IF(AND(YEAR(JanSun1+32)=CalendarYear,MONTH(JanSun1+32)=1),JanSun1+32,""))</f>
        <v>44224</v>
      </c>
      <c r="J60" s="61" t="s">
        <v>29</v>
      </c>
      <c r="K60" s="56">
        <f>IF(DAY(JanSun1)=1,IF(AND(YEAR(JanSun1+26)=CalendarYear,MONTH(JanSun1+26)=1),JanSun1+26,""),IF(AND(YEAR(JanSun1+33)=CalendarYear,MONTH(JanSun1+33)=1),JanSun1+33,""))</f>
        <v>44225</v>
      </c>
      <c r="L60" s="61" t="s">
        <v>29</v>
      </c>
      <c r="M60" s="56">
        <f>IF(DAY(JanSun1)=1,IF(AND(YEAR(JanSun1+27)=CalendarYear,MONTH(JanSun1+27)=1),JanSun1+27,""),IF(AND(YEAR(JanSun1+34)=CalendarYear,MONTH(JanSun1+34)=1),JanSun1+34,""))</f>
        <v>44226</v>
      </c>
      <c r="N60" s="61" t="s">
        <v>29</v>
      </c>
      <c r="O60" s="56">
        <f>IF(DAY(JanSun1)=1,IF(AND(YEAR(JanSun1+28)=CalendarYear,MONTH(JanSun1+28)=1),JanSun1+28,""),IF(AND(YEAR(JanSun1+35)=CalendarYear,MONTH(JanSun1+35)=1),JanSun1+35,""))</f>
        <v>44227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IF(DAY(JanSun1)=1,IF(AND(YEAR(JanSun1+29)=CalendarYear,MONTH(JanSun1+29)=1),JanSun1+29,""),IF(AND(YEAR(JanSun1+36)=CalendarYear,MONTH(JanSun1+36)=1),JanSun1+36,""))</f>
        <v/>
      </c>
      <c r="D73" s="61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8">
    <mergeCell ref="B87:P87"/>
    <mergeCell ref="B86:P86"/>
    <mergeCell ref="BK4:BN5"/>
    <mergeCell ref="CB6:CC6"/>
    <mergeCell ref="R1:S4"/>
    <mergeCell ref="G74:P85"/>
    <mergeCell ref="B4:C5"/>
    <mergeCell ref="G6:H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43" zoomScale="50" zoomScaleNormal="50" workbookViewId="0">
      <selection activeCell="G50" sqref="G50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30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23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>
        <f>IF(DAY(OctSun1)=1,"",IF(AND(YEAR(OctSun1+5)=CalendarYear,MONTH(OctSun1+5)=10),OctSun1+5,""))</f>
        <v>44470</v>
      </c>
      <c r="L8" s="61" t="s">
        <v>29</v>
      </c>
      <c r="M8" s="56">
        <f>IF(DAY(OctSun1)=1,"",IF(AND(YEAR(OctSun1+6)=CalendarYear,MONTH(OctSun1+6)=10),OctSun1+6,""))</f>
        <v>44471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44472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64" t="s">
        <v>31</v>
      </c>
      <c r="L9" s="65"/>
      <c r="M9" s="64" t="s">
        <v>42</v>
      </c>
      <c r="N9" s="65"/>
      <c r="O9" s="64" t="s">
        <v>32</v>
      </c>
      <c r="P9" s="26"/>
      <c r="Q9" s="22"/>
    </row>
    <row r="10" spans="1:88" s="23" customFormat="1" ht="17.5" customHeight="1" x14ac:dyDescent="0.45">
      <c r="B10" s="50"/>
      <c r="C10" s="28"/>
      <c r="D10" s="29"/>
      <c r="E10" s="28"/>
      <c r="F10" s="29"/>
      <c r="G10" s="30"/>
      <c r="H10" s="29"/>
      <c r="I10" s="30"/>
      <c r="J10" s="29"/>
      <c r="K10" s="66"/>
      <c r="L10" s="67"/>
      <c r="M10" s="66"/>
      <c r="N10" s="67"/>
      <c r="O10" s="66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66" t="s">
        <v>33</v>
      </c>
      <c r="L11" s="67"/>
      <c r="M11" s="66" t="s">
        <v>34</v>
      </c>
      <c r="N11" s="67"/>
      <c r="O11" s="66" t="s">
        <v>32</v>
      </c>
      <c r="P11" s="29"/>
      <c r="Q11" s="22"/>
    </row>
    <row r="12" spans="1:88" s="23" customFormat="1" ht="17.5" customHeight="1" x14ac:dyDescent="0.45">
      <c r="B12" s="50"/>
      <c r="C12" s="28"/>
      <c r="D12" s="29"/>
      <c r="E12" s="28"/>
      <c r="F12" s="29"/>
      <c r="G12" s="30"/>
      <c r="H12" s="29"/>
      <c r="I12" s="30"/>
      <c r="J12" s="29"/>
      <c r="K12" s="66"/>
      <c r="L12" s="67"/>
      <c r="M12" s="66"/>
      <c r="N12" s="67"/>
      <c r="O12" s="66"/>
      <c r="P12" s="29"/>
      <c r="Q12" s="22"/>
    </row>
    <row r="13" spans="1:88" s="23" customFormat="1" ht="17.5" customHeight="1" x14ac:dyDescent="0.45">
      <c r="B13" s="50" t="s">
        <v>4</v>
      </c>
      <c r="C13" s="28"/>
      <c r="D13" s="29"/>
      <c r="E13" s="28"/>
      <c r="F13" s="29"/>
      <c r="G13" s="30"/>
      <c r="H13" s="29"/>
      <c r="I13" s="30"/>
      <c r="J13" s="29"/>
      <c r="K13" s="66" t="s">
        <v>35</v>
      </c>
      <c r="L13" s="67"/>
      <c r="M13" s="66" t="s">
        <v>36</v>
      </c>
      <c r="N13" s="67"/>
      <c r="O13" s="66" t="s">
        <v>32</v>
      </c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66"/>
      <c r="L14" s="67"/>
      <c r="M14" s="66"/>
      <c r="N14" s="67"/>
      <c r="O14" s="66"/>
      <c r="P14" s="29"/>
      <c r="Q14" s="22"/>
    </row>
    <row r="15" spans="1:88" s="23" customFormat="1" ht="17.5" customHeight="1" x14ac:dyDescent="0.45">
      <c r="B15" s="50" t="s">
        <v>30</v>
      </c>
      <c r="C15" s="28"/>
      <c r="D15" s="29"/>
      <c r="E15" s="28"/>
      <c r="F15" s="29"/>
      <c r="G15" s="30"/>
      <c r="H15" s="29"/>
      <c r="I15" s="30"/>
      <c r="J15" s="29"/>
      <c r="K15" s="66" t="s">
        <v>37</v>
      </c>
      <c r="L15" s="67"/>
      <c r="M15" s="66" t="s">
        <v>38</v>
      </c>
      <c r="N15" s="67"/>
      <c r="O15" s="66" t="s">
        <v>32</v>
      </c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66"/>
      <c r="L16" s="67"/>
      <c r="M16" s="66"/>
      <c r="N16" s="67"/>
      <c r="O16" s="66"/>
      <c r="P16" s="29"/>
      <c r="Q16" s="22"/>
    </row>
    <row r="17" spans="2:21" s="23" customFormat="1" ht="17.5" customHeight="1" x14ac:dyDescent="0.45">
      <c r="B17" s="50" t="s">
        <v>6</v>
      </c>
      <c r="C17" s="28"/>
      <c r="D17" s="29"/>
      <c r="E17" s="28"/>
      <c r="F17" s="29"/>
      <c r="G17" s="30"/>
      <c r="H17" s="29"/>
      <c r="I17" s="30"/>
      <c r="J17" s="29"/>
      <c r="K17" s="66" t="s">
        <v>39</v>
      </c>
      <c r="L17" s="67"/>
      <c r="M17" s="66" t="s">
        <v>40</v>
      </c>
      <c r="N17" s="67"/>
      <c r="O17" s="66" t="s">
        <v>32</v>
      </c>
      <c r="P17" s="29"/>
      <c r="Q17" s="22"/>
    </row>
    <row r="18" spans="2:21" s="23" customFormat="1" ht="17.5" customHeight="1" x14ac:dyDescent="0.45">
      <c r="B18" s="50"/>
      <c r="C18" s="28"/>
      <c r="D18" s="29"/>
      <c r="E18" s="28"/>
      <c r="F18" s="29"/>
      <c r="G18" s="30"/>
      <c r="H18" s="29"/>
      <c r="I18" s="30"/>
      <c r="J18" s="29"/>
      <c r="K18" s="66"/>
      <c r="L18" s="67"/>
      <c r="M18" s="66"/>
      <c r="N18" s="67"/>
      <c r="O18" s="66"/>
      <c r="P18" s="29"/>
      <c r="Q18" s="22"/>
    </row>
    <row r="19" spans="2:21" s="23" customFormat="1" ht="17.5" customHeight="1" x14ac:dyDescent="0.45">
      <c r="B19" s="50"/>
      <c r="C19" s="28"/>
      <c r="D19" s="29"/>
      <c r="E19" s="28"/>
      <c r="F19" s="29"/>
      <c r="G19" s="30"/>
      <c r="H19" s="29"/>
      <c r="I19" s="30"/>
      <c r="J19" s="29"/>
      <c r="K19" s="66"/>
      <c r="L19" s="67"/>
      <c r="M19" s="66"/>
      <c r="N19" s="67"/>
      <c r="O19" s="66"/>
      <c r="P19" s="29"/>
      <c r="Q19" s="22"/>
    </row>
    <row r="20" spans="2:21" s="23" customFormat="1" ht="17.5" customHeight="1" x14ac:dyDescent="0.45">
      <c r="B20" s="62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63"/>
      <c r="C21" s="55">
        <f>IF(DAY(OctSun1)=1,IF(AND(YEAR(OctSun1+1)=CalendarYear,MONTH(OctSun1+1)=10),OctSun1+1,""),IF(AND(YEAR(OctSun1+8)=CalendarYear,MONTH(OctSun1+8)=10),OctSun1+8,""))</f>
        <v>44473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44474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44475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44476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44477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44478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44479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68" t="s">
        <v>41</v>
      </c>
      <c r="D22" s="69"/>
      <c r="E22" s="68" t="s">
        <v>44</v>
      </c>
      <c r="F22" s="69"/>
      <c r="G22" s="70" t="s">
        <v>43</v>
      </c>
      <c r="H22" s="69"/>
      <c r="I22" s="70" t="s">
        <v>42</v>
      </c>
      <c r="J22" s="69"/>
      <c r="K22" s="70" t="s">
        <v>45</v>
      </c>
      <c r="L22" s="69"/>
      <c r="M22" s="70" t="s">
        <v>31</v>
      </c>
      <c r="N22" s="69"/>
      <c r="O22" s="70" t="s">
        <v>32</v>
      </c>
      <c r="P22" s="35"/>
      <c r="Q22" s="22"/>
    </row>
    <row r="23" spans="2:21" s="23" customFormat="1" ht="17.5" customHeight="1" x14ac:dyDescent="0.45">
      <c r="B23" s="50"/>
      <c r="C23" s="71"/>
      <c r="D23" s="72"/>
      <c r="E23" s="71"/>
      <c r="F23" s="72"/>
      <c r="G23" s="73"/>
      <c r="H23" s="72"/>
      <c r="I23" s="73"/>
      <c r="J23" s="72"/>
      <c r="K23" s="73"/>
      <c r="L23" s="72"/>
      <c r="M23" s="73"/>
      <c r="N23" s="72"/>
      <c r="O23" s="73"/>
      <c r="P23" s="38"/>
      <c r="Q23" s="22"/>
    </row>
    <row r="24" spans="2:21" s="23" customFormat="1" ht="17.5" customHeight="1" x14ac:dyDescent="0.45">
      <c r="B24" s="50" t="s">
        <v>3</v>
      </c>
      <c r="C24" s="71" t="s">
        <v>46</v>
      </c>
      <c r="D24" s="72"/>
      <c r="E24" s="71" t="s">
        <v>47</v>
      </c>
      <c r="F24" s="72"/>
      <c r="G24" s="73" t="s">
        <v>48</v>
      </c>
      <c r="H24" s="72"/>
      <c r="I24" s="73" t="s">
        <v>49</v>
      </c>
      <c r="J24" s="72"/>
      <c r="K24" s="73" t="s">
        <v>50</v>
      </c>
      <c r="L24" s="72"/>
      <c r="M24" s="73" t="s">
        <v>51</v>
      </c>
      <c r="N24" s="72"/>
      <c r="O24" s="73" t="s">
        <v>32</v>
      </c>
      <c r="P24" s="38"/>
      <c r="Q24" s="22"/>
    </row>
    <row r="25" spans="2:21" s="23" customFormat="1" ht="17.5" customHeight="1" x14ac:dyDescent="0.45">
      <c r="B25" s="50"/>
      <c r="C25" s="71"/>
      <c r="D25" s="72"/>
      <c r="E25" s="71"/>
      <c r="F25" s="72"/>
      <c r="G25" s="73"/>
      <c r="H25" s="72"/>
      <c r="I25" s="73"/>
      <c r="J25" s="72"/>
      <c r="K25" s="73"/>
      <c r="L25" s="72"/>
      <c r="M25" s="73"/>
      <c r="N25" s="72"/>
      <c r="O25" s="73"/>
      <c r="P25" s="38"/>
      <c r="Q25" s="22"/>
    </row>
    <row r="26" spans="2:21" s="23" customFormat="1" ht="17.5" customHeight="1" x14ac:dyDescent="0.45">
      <c r="B26" s="50" t="s">
        <v>4</v>
      </c>
      <c r="C26" s="71" t="s">
        <v>52</v>
      </c>
      <c r="D26" s="72"/>
      <c r="E26" s="71" t="s">
        <v>53</v>
      </c>
      <c r="F26" s="72"/>
      <c r="G26" s="73" t="s">
        <v>54</v>
      </c>
      <c r="H26" s="72"/>
      <c r="I26" s="73" t="s">
        <v>55</v>
      </c>
      <c r="J26" s="72"/>
      <c r="K26" s="73" t="s">
        <v>56</v>
      </c>
      <c r="L26" s="72"/>
      <c r="M26" s="73" t="s">
        <v>38</v>
      </c>
      <c r="N26" s="72"/>
      <c r="O26" s="73" t="s">
        <v>32</v>
      </c>
      <c r="P26" s="38"/>
      <c r="Q26" s="22"/>
    </row>
    <row r="27" spans="2:21" s="23" customFormat="1" ht="17.5" customHeight="1" x14ac:dyDescent="0.45">
      <c r="B27" s="50"/>
      <c r="C27" s="71"/>
      <c r="D27" s="72"/>
      <c r="E27" s="71"/>
      <c r="F27" s="72"/>
      <c r="G27" s="73"/>
      <c r="H27" s="72"/>
      <c r="I27" s="73"/>
      <c r="J27" s="72"/>
      <c r="K27" s="73"/>
      <c r="L27" s="72"/>
      <c r="M27" s="73"/>
      <c r="N27" s="72"/>
      <c r="O27" s="73"/>
      <c r="P27" s="38"/>
      <c r="Q27" s="22"/>
    </row>
    <row r="28" spans="2:21" s="23" customFormat="1" ht="17.5" customHeight="1" x14ac:dyDescent="0.45">
      <c r="B28" s="50" t="s">
        <v>30</v>
      </c>
      <c r="C28" s="71" t="s">
        <v>57</v>
      </c>
      <c r="D28" s="72"/>
      <c r="E28" s="71" t="s">
        <v>58</v>
      </c>
      <c r="F28" s="72"/>
      <c r="G28" s="73" t="s">
        <v>59</v>
      </c>
      <c r="H28" s="72"/>
      <c r="I28" s="73" t="s">
        <v>38</v>
      </c>
      <c r="J28" s="72"/>
      <c r="K28" s="73" t="s">
        <v>60</v>
      </c>
      <c r="L28" s="72"/>
      <c r="M28" s="73" t="s">
        <v>61</v>
      </c>
      <c r="N28" s="72"/>
      <c r="O28" s="73" t="s">
        <v>32</v>
      </c>
      <c r="P28" s="38"/>
      <c r="Q28" s="22"/>
    </row>
    <row r="29" spans="2:21" s="23" customFormat="1" ht="17.5" customHeight="1" x14ac:dyDescent="0.45">
      <c r="B29" s="50"/>
      <c r="C29" s="71"/>
      <c r="D29" s="72"/>
      <c r="E29" s="71"/>
      <c r="F29" s="72"/>
      <c r="G29" s="73"/>
      <c r="H29" s="72"/>
      <c r="I29" s="73"/>
      <c r="J29" s="72"/>
      <c r="K29" s="73"/>
      <c r="L29" s="72"/>
      <c r="M29" s="73"/>
      <c r="N29" s="72"/>
      <c r="O29" s="73"/>
      <c r="P29" s="38"/>
      <c r="Q29" s="22"/>
    </row>
    <row r="30" spans="2:21" s="23" customFormat="1" ht="17.5" customHeight="1" x14ac:dyDescent="0.45">
      <c r="B30" s="50" t="s">
        <v>6</v>
      </c>
      <c r="C30" s="71" t="s">
        <v>62</v>
      </c>
      <c r="D30" s="72"/>
      <c r="E30" s="71" t="s">
        <v>63</v>
      </c>
      <c r="F30" s="72"/>
      <c r="G30" s="73" t="s">
        <v>64</v>
      </c>
      <c r="H30" s="72"/>
      <c r="I30" s="73" t="s">
        <v>65</v>
      </c>
      <c r="J30" s="72"/>
      <c r="K30" s="73" t="s">
        <v>66</v>
      </c>
      <c r="L30" s="72"/>
      <c r="M30" s="73" t="s">
        <v>40</v>
      </c>
      <c r="N30" s="72"/>
      <c r="O30" s="73" t="s">
        <v>32</v>
      </c>
      <c r="P30" s="38"/>
      <c r="Q30" s="22"/>
    </row>
    <row r="31" spans="2:21" s="23" customFormat="1" ht="17.5" customHeight="1" x14ac:dyDescent="0.45">
      <c r="B31" s="50"/>
      <c r="C31" s="71"/>
      <c r="D31" s="72"/>
      <c r="E31" s="71"/>
      <c r="F31" s="72"/>
      <c r="G31" s="73"/>
      <c r="H31" s="72"/>
      <c r="I31" s="73"/>
      <c r="J31" s="72"/>
      <c r="K31" s="73"/>
      <c r="L31" s="72"/>
      <c r="M31" s="73"/>
      <c r="N31" s="72"/>
      <c r="O31" s="73"/>
      <c r="P31" s="38"/>
      <c r="Q31" s="22"/>
    </row>
    <row r="32" spans="2:21" s="23" customFormat="1" ht="17.5" customHeight="1" x14ac:dyDescent="0.45">
      <c r="B32" s="50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62"/>
      <c r="C33" s="40"/>
      <c r="D33" s="41"/>
      <c r="E33" s="40"/>
      <c r="F33" s="41"/>
      <c r="G33" s="42"/>
      <c r="H33" s="41"/>
      <c r="I33" s="42"/>
      <c r="J33" s="41"/>
      <c r="K33" s="42"/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63"/>
      <c r="C34" s="55">
        <f>IF(DAY(OctSun1)=1,IF(AND(YEAR(OctSun1+8)=CalendarYear,MONTH(OctSun1+8)=10),OctSun1+8,""),IF(AND(YEAR(OctSun1+15)=CalendarYear,MONTH(OctSun1+15)=10),OctSun1+15,""))</f>
        <v>44480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44481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44482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44483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44484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44485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44486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74" t="s">
        <v>105</v>
      </c>
      <c r="D35" s="65"/>
      <c r="E35" s="74" t="s">
        <v>124</v>
      </c>
      <c r="F35" s="65"/>
      <c r="G35" s="64" t="s">
        <v>125</v>
      </c>
      <c r="H35" s="65"/>
      <c r="I35" s="64" t="s">
        <v>67</v>
      </c>
      <c r="J35" s="65"/>
      <c r="K35" s="64" t="s">
        <v>68</v>
      </c>
      <c r="L35" s="65"/>
      <c r="M35" s="64" t="s">
        <v>44</v>
      </c>
      <c r="N35" s="65"/>
      <c r="O35" s="64" t="s">
        <v>32</v>
      </c>
      <c r="P35" s="26"/>
      <c r="Q35" s="22"/>
    </row>
    <row r="36" spans="2:21" s="23" customFormat="1" ht="17.5" customHeight="1" x14ac:dyDescent="0.45">
      <c r="B36" s="50"/>
      <c r="C36" s="75"/>
      <c r="D36" s="67"/>
      <c r="E36" s="75"/>
      <c r="F36" s="67"/>
      <c r="G36" s="66"/>
      <c r="H36" s="67"/>
      <c r="I36" s="66"/>
      <c r="J36" s="67"/>
      <c r="K36" s="66"/>
      <c r="L36" s="67"/>
      <c r="M36" s="66"/>
      <c r="N36" s="67"/>
      <c r="O36" s="66"/>
      <c r="P36" s="29"/>
      <c r="Q36" s="22"/>
    </row>
    <row r="37" spans="2:21" s="23" customFormat="1" ht="17.5" customHeight="1" x14ac:dyDescent="0.45">
      <c r="B37" s="50" t="s">
        <v>3</v>
      </c>
      <c r="C37" s="75" t="s">
        <v>69</v>
      </c>
      <c r="D37" s="67"/>
      <c r="E37" s="75" t="s">
        <v>70</v>
      </c>
      <c r="F37" s="67"/>
      <c r="G37" s="66" t="s">
        <v>71</v>
      </c>
      <c r="H37" s="67"/>
      <c r="I37" s="66" t="s">
        <v>72</v>
      </c>
      <c r="J37" s="67"/>
      <c r="K37" s="66" t="s">
        <v>73</v>
      </c>
      <c r="L37" s="67"/>
      <c r="M37" s="66" t="s">
        <v>74</v>
      </c>
      <c r="N37" s="67"/>
      <c r="O37" s="66" t="s">
        <v>32</v>
      </c>
      <c r="P37" s="29"/>
      <c r="Q37" s="22"/>
    </row>
    <row r="38" spans="2:21" s="23" customFormat="1" ht="17.5" customHeight="1" x14ac:dyDescent="0.45">
      <c r="B38" s="50"/>
      <c r="C38" s="75"/>
      <c r="D38" s="67"/>
      <c r="E38" s="75"/>
      <c r="F38" s="67"/>
      <c r="G38" s="66"/>
      <c r="H38" s="67"/>
      <c r="I38" s="66"/>
      <c r="J38" s="67"/>
      <c r="K38" s="66"/>
      <c r="L38" s="67"/>
      <c r="M38" s="66"/>
      <c r="N38" s="67"/>
      <c r="O38" s="66"/>
      <c r="P38" s="29"/>
      <c r="Q38" s="22"/>
    </row>
    <row r="39" spans="2:21" s="23" customFormat="1" ht="17.5" customHeight="1" x14ac:dyDescent="0.45">
      <c r="B39" s="50" t="s">
        <v>4</v>
      </c>
      <c r="C39" s="75" t="s">
        <v>75</v>
      </c>
      <c r="D39" s="67"/>
      <c r="E39" s="75" t="s">
        <v>53</v>
      </c>
      <c r="F39" s="67"/>
      <c r="G39" s="66" t="s">
        <v>76</v>
      </c>
      <c r="H39" s="67"/>
      <c r="I39" s="66" t="s">
        <v>77</v>
      </c>
      <c r="J39" s="67"/>
      <c r="K39" s="66" t="s">
        <v>35</v>
      </c>
      <c r="L39" s="67"/>
      <c r="M39" s="66" t="s">
        <v>78</v>
      </c>
      <c r="N39" s="67"/>
      <c r="O39" s="66" t="s">
        <v>32</v>
      </c>
      <c r="P39" s="29"/>
      <c r="Q39" s="22"/>
    </row>
    <row r="40" spans="2:21" s="23" customFormat="1" ht="17.5" customHeight="1" x14ac:dyDescent="0.45">
      <c r="B40" s="50"/>
      <c r="C40" s="75"/>
      <c r="D40" s="67"/>
      <c r="E40" s="75"/>
      <c r="F40" s="67"/>
      <c r="G40" s="66"/>
      <c r="H40" s="67"/>
      <c r="I40" s="66"/>
      <c r="J40" s="67"/>
      <c r="K40" s="66"/>
      <c r="L40" s="67"/>
      <c r="M40" s="66"/>
      <c r="N40" s="67"/>
      <c r="O40" s="66"/>
      <c r="P40" s="29"/>
      <c r="Q40" s="22"/>
    </row>
    <row r="41" spans="2:21" s="23" customFormat="1" ht="17.5" customHeight="1" x14ac:dyDescent="0.45">
      <c r="B41" s="50" t="s">
        <v>30</v>
      </c>
      <c r="C41" s="75" t="s">
        <v>39</v>
      </c>
      <c r="D41" s="67"/>
      <c r="E41" s="75" t="s">
        <v>79</v>
      </c>
      <c r="F41" s="67"/>
      <c r="G41" s="66" t="s">
        <v>57</v>
      </c>
      <c r="H41" s="67"/>
      <c r="I41" s="66" t="s">
        <v>38</v>
      </c>
      <c r="J41" s="67"/>
      <c r="K41" s="66" t="s">
        <v>80</v>
      </c>
      <c r="L41" s="67"/>
      <c r="M41" s="66" t="s">
        <v>63</v>
      </c>
      <c r="N41" s="67"/>
      <c r="O41" s="66" t="s">
        <v>32</v>
      </c>
      <c r="P41" s="29"/>
      <c r="Q41" s="22"/>
    </row>
    <row r="42" spans="2:21" s="23" customFormat="1" ht="17.5" customHeight="1" x14ac:dyDescent="0.45">
      <c r="B42" s="50"/>
      <c r="C42" s="75"/>
      <c r="D42" s="67"/>
      <c r="E42" s="75"/>
      <c r="F42" s="67"/>
      <c r="G42" s="66"/>
      <c r="H42" s="67"/>
      <c r="I42" s="66"/>
      <c r="J42" s="67"/>
      <c r="K42" s="66"/>
      <c r="L42" s="67"/>
      <c r="M42" s="66"/>
      <c r="N42" s="67"/>
      <c r="O42" s="66"/>
      <c r="P42" s="29"/>
      <c r="Q42" s="22"/>
    </row>
    <row r="43" spans="2:21" s="23" customFormat="1" ht="17.5" customHeight="1" x14ac:dyDescent="0.45">
      <c r="B43" s="50" t="s">
        <v>6</v>
      </c>
      <c r="C43" s="75" t="s">
        <v>81</v>
      </c>
      <c r="D43" s="67"/>
      <c r="E43" s="75" t="s">
        <v>129</v>
      </c>
      <c r="F43" s="67"/>
      <c r="G43" s="66" t="s">
        <v>82</v>
      </c>
      <c r="H43" s="67"/>
      <c r="I43" s="66" t="s">
        <v>83</v>
      </c>
      <c r="J43" s="67"/>
      <c r="K43" s="66" t="s">
        <v>84</v>
      </c>
      <c r="L43" s="67"/>
      <c r="M43" s="66" t="s">
        <v>85</v>
      </c>
      <c r="N43" s="67"/>
      <c r="O43" s="66" t="s">
        <v>32</v>
      </c>
      <c r="P43" s="29"/>
      <c r="Q43" s="22"/>
    </row>
    <row r="44" spans="2:21" s="23" customFormat="1" ht="17.5" customHeight="1" x14ac:dyDescent="0.45">
      <c r="B44" s="50"/>
      <c r="C44" s="75"/>
      <c r="D44" s="67"/>
      <c r="E44" s="75"/>
      <c r="F44" s="67"/>
      <c r="G44" s="66"/>
      <c r="H44" s="67"/>
      <c r="I44" s="66"/>
      <c r="J44" s="67"/>
      <c r="K44" s="66"/>
      <c r="L44" s="67"/>
      <c r="M44" s="66"/>
      <c r="N44" s="67"/>
      <c r="O44" s="66"/>
      <c r="P44" s="29"/>
      <c r="Q44" s="22"/>
    </row>
    <row r="45" spans="2:21" s="23" customFormat="1" ht="17.5" customHeight="1" x14ac:dyDescent="0.45">
      <c r="B45" s="50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62"/>
      <c r="C46" s="31"/>
      <c r="D46" s="32"/>
      <c r="E46" s="31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63"/>
      <c r="C47" s="55">
        <f>IF(DAY(OctSun1)=1,IF(AND(YEAR(OctSun1+15)=CalendarYear,MONTH(OctSun1+15)=10),OctSun1+15,""),IF(AND(YEAR(OctSun1+22)=CalendarYear,MONTH(OctSun1+22)=10),OctSun1+22,""))</f>
        <v>44487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44488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44489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44490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44491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44492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44493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68" t="s">
        <v>41</v>
      </c>
      <c r="D48" s="69"/>
      <c r="E48" s="68" t="s">
        <v>86</v>
      </c>
      <c r="F48" s="69"/>
      <c r="G48" s="70" t="s">
        <v>43</v>
      </c>
      <c r="H48" s="69"/>
      <c r="I48" s="70" t="s">
        <v>87</v>
      </c>
      <c r="J48" s="69"/>
      <c r="K48" s="70" t="s">
        <v>88</v>
      </c>
      <c r="L48" s="69"/>
      <c r="M48" s="70" t="s">
        <v>89</v>
      </c>
      <c r="N48" s="69"/>
      <c r="O48" s="70" t="s">
        <v>32</v>
      </c>
      <c r="P48" s="35"/>
      <c r="Q48" s="22"/>
    </row>
    <row r="49" spans="2:21" s="23" customFormat="1" ht="17.5" customHeight="1" x14ac:dyDescent="0.45">
      <c r="B49" s="50"/>
      <c r="C49" s="71"/>
      <c r="D49" s="72"/>
      <c r="E49" s="71" t="s">
        <v>90</v>
      </c>
      <c r="F49" s="72"/>
      <c r="G49" s="73"/>
      <c r="H49" s="72"/>
      <c r="I49" s="73"/>
      <c r="J49" s="72"/>
      <c r="K49" s="73"/>
      <c r="L49" s="72"/>
      <c r="M49" s="73"/>
      <c r="N49" s="72"/>
      <c r="O49" s="73"/>
      <c r="P49" s="38"/>
      <c r="Q49" s="22"/>
    </row>
    <row r="50" spans="2:21" s="23" customFormat="1" ht="17.5" customHeight="1" x14ac:dyDescent="0.45">
      <c r="B50" s="50" t="s">
        <v>3</v>
      </c>
      <c r="C50" s="71" t="s">
        <v>91</v>
      </c>
      <c r="D50" s="72"/>
      <c r="E50" s="71" t="s">
        <v>92</v>
      </c>
      <c r="F50" s="72"/>
      <c r="G50" s="73" t="s">
        <v>126</v>
      </c>
      <c r="H50" s="72"/>
      <c r="I50" s="73" t="s">
        <v>93</v>
      </c>
      <c r="J50" s="72"/>
      <c r="K50" s="73" t="s">
        <v>94</v>
      </c>
      <c r="L50" s="72"/>
      <c r="M50" s="73" t="s">
        <v>95</v>
      </c>
      <c r="N50" s="72"/>
      <c r="O50" s="73" t="s">
        <v>32</v>
      </c>
      <c r="P50" s="38"/>
      <c r="Q50" s="22"/>
    </row>
    <row r="51" spans="2:21" s="23" customFormat="1" ht="17.5" customHeight="1" x14ac:dyDescent="0.45">
      <c r="B51" s="50"/>
      <c r="C51" s="71"/>
      <c r="D51" s="72"/>
      <c r="E51" s="71"/>
      <c r="F51" s="72"/>
      <c r="G51" s="73"/>
      <c r="H51" s="72"/>
      <c r="I51" s="73"/>
      <c r="J51" s="72"/>
      <c r="K51" s="73"/>
      <c r="L51" s="72"/>
      <c r="M51" s="73"/>
      <c r="N51" s="72"/>
      <c r="O51" s="73"/>
      <c r="P51" s="38"/>
      <c r="Q51" s="22"/>
    </row>
    <row r="52" spans="2:21" s="23" customFormat="1" ht="17.5" customHeight="1" x14ac:dyDescent="0.45">
      <c r="B52" s="50" t="s">
        <v>4</v>
      </c>
      <c r="C52" s="71" t="s">
        <v>128</v>
      </c>
      <c r="D52" s="72"/>
      <c r="E52" s="71" t="s">
        <v>97</v>
      </c>
      <c r="F52" s="72"/>
      <c r="G52" s="73" t="s">
        <v>55</v>
      </c>
      <c r="H52" s="72"/>
      <c r="I52" s="73" t="s">
        <v>96</v>
      </c>
      <c r="J52" s="72"/>
      <c r="K52" s="73" t="s">
        <v>97</v>
      </c>
      <c r="L52" s="72"/>
      <c r="M52" s="73" t="s">
        <v>98</v>
      </c>
      <c r="N52" s="72"/>
      <c r="O52" s="73" t="s">
        <v>32</v>
      </c>
      <c r="P52" s="38"/>
      <c r="Q52" s="22"/>
    </row>
    <row r="53" spans="2:21" s="23" customFormat="1" ht="17.5" customHeight="1" x14ac:dyDescent="0.45">
      <c r="B53" s="50"/>
      <c r="C53" s="71"/>
      <c r="D53" s="72"/>
      <c r="E53" s="71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38"/>
      <c r="Q53" s="22"/>
    </row>
    <row r="54" spans="2:21" s="23" customFormat="1" ht="17.5" customHeight="1" x14ac:dyDescent="0.45">
      <c r="B54" s="50" t="s">
        <v>30</v>
      </c>
      <c r="C54" s="71" t="s">
        <v>57</v>
      </c>
      <c r="D54" s="72"/>
      <c r="E54" s="71" t="s">
        <v>85</v>
      </c>
      <c r="F54" s="72"/>
      <c r="G54" s="73" t="s">
        <v>99</v>
      </c>
      <c r="H54" s="72"/>
      <c r="I54" s="73" t="s">
        <v>100</v>
      </c>
      <c r="J54" s="72"/>
      <c r="K54" s="73" t="s">
        <v>101</v>
      </c>
      <c r="L54" s="72"/>
      <c r="M54" s="73" t="s">
        <v>38</v>
      </c>
      <c r="N54" s="72"/>
      <c r="O54" s="73" t="s">
        <v>32</v>
      </c>
      <c r="P54" s="38"/>
      <c r="Q54" s="22"/>
    </row>
    <row r="55" spans="2:21" s="23" customFormat="1" ht="17.5" customHeight="1" x14ac:dyDescent="0.45">
      <c r="B55" s="50"/>
      <c r="C55" s="71"/>
      <c r="D55" s="72"/>
      <c r="E55" s="71"/>
      <c r="F55" s="72"/>
      <c r="G55" s="73"/>
      <c r="H55" s="72"/>
      <c r="I55" s="73"/>
      <c r="J55" s="72"/>
      <c r="K55" s="73"/>
      <c r="L55" s="72"/>
      <c r="M55" s="73"/>
      <c r="N55" s="72"/>
      <c r="O55" s="73"/>
      <c r="P55" s="38"/>
      <c r="Q55" s="22"/>
    </row>
    <row r="56" spans="2:21" s="23" customFormat="1" ht="17.5" customHeight="1" x14ac:dyDescent="0.45">
      <c r="B56" s="50" t="s">
        <v>6</v>
      </c>
      <c r="C56" s="71" t="s">
        <v>40</v>
      </c>
      <c r="D56" s="72"/>
      <c r="E56" s="71" t="s">
        <v>102</v>
      </c>
      <c r="F56" s="72"/>
      <c r="G56" s="73" t="s">
        <v>38</v>
      </c>
      <c r="H56" s="72"/>
      <c r="I56" s="73" t="s">
        <v>127</v>
      </c>
      <c r="J56" s="72"/>
      <c r="K56" s="73" t="s">
        <v>103</v>
      </c>
      <c r="L56" s="72"/>
      <c r="M56" s="73" t="s">
        <v>66</v>
      </c>
      <c r="N56" s="72"/>
      <c r="O56" s="73" t="s">
        <v>32</v>
      </c>
      <c r="P56" s="38"/>
      <c r="Q56" s="22"/>
    </row>
    <row r="57" spans="2:21" s="23" customFormat="1" ht="17.5" customHeight="1" x14ac:dyDescent="0.45">
      <c r="B57" s="50"/>
      <c r="C57" s="71"/>
      <c r="D57" s="72"/>
      <c r="E57" s="71"/>
      <c r="F57" s="72"/>
      <c r="G57" s="73"/>
      <c r="H57" s="72"/>
      <c r="I57" s="73"/>
      <c r="J57" s="72"/>
      <c r="K57" s="73"/>
      <c r="L57" s="72"/>
      <c r="M57" s="73"/>
      <c r="N57" s="72"/>
      <c r="O57" s="73"/>
      <c r="P57" s="38"/>
      <c r="Q57" s="22"/>
    </row>
    <row r="58" spans="2:21" s="23" customFormat="1" ht="17.5" customHeight="1" x14ac:dyDescent="0.45">
      <c r="B58" s="50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62"/>
      <c r="C59" s="40"/>
      <c r="D59" s="41"/>
      <c r="E59" s="40"/>
      <c r="F59" s="41"/>
      <c r="G59" s="42"/>
      <c r="H59" s="41"/>
      <c r="I59" s="42"/>
      <c r="J59" s="41"/>
      <c r="K59" s="42"/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63"/>
      <c r="C60" s="55">
        <f>IF(DAY(OctSun1)=1,IF(AND(YEAR(OctSun1+22)=CalendarYear,MONTH(OctSun1+22)=10),OctSun1+22,""),IF(AND(YEAR(OctSun1+29)=CalendarYear,MONTH(OctSun1+29)=10),OctSun1+29,""))</f>
        <v>44494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44495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44496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44497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44498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44499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44500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74" t="s">
        <v>45</v>
      </c>
      <c r="D61" s="65"/>
      <c r="E61" s="74" t="s">
        <v>104</v>
      </c>
      <c r="F61" s="65"/>
      <c r="G61" s="64" t="s">
        <v>105</v>
      </c>
      <c r="H61" s="65"/>
      <c r="I61" s="64" t="s">
        <v>43</v>
      </c>
      <c r="J61" s="65"/>
      <c r="K61" s="64" t="s">
        <v>31</v>
      </c>
      <c r="L61" s="65"/>
      <c r="M61" s="64" t="s">
        <v>42</v>
      </c>
      <c r="N61" s="65"/>
      <c r="O61" s="64" t="s">
        <v>32</v>
      </c>
      <c r="P61" s="26"/>
      <c r="Q61" s="22"/>
    </row>
    <row r="62" spans="2:21" s="23" customFormat="1" ht="17.5" customHeight="1" x14ac:dyDescent="0.45">
      <c r="B62" s="50"/>
      <c r="C62" s="75"/>
      <c r="D62" s="67"/>
      <c r="E62" s="75"/>
      <c r="F62" s="67"/>
      <c r="G62" s="66"/>
      <c r="H62" s="67"/>
      <c r="I62" s="66"/>
      <c r="J62" s="67"/>
      <c r="K62" s="66"/>
      <c r="L62" s="67"/>
      <c r="M62" s="66"/>
      <c r="N62" s="67"/>
      <c r="O62" s="66"/>
      <c r="P62" s="29"/>
      <c r="Q62" s="22"/>
    </row>
    <row r="63" spans="2:21" s="23" customFormat="1" ht="17.5" customHeight="1" x14ac:dyDescent="0.45">
      <c r="B63" s="50" t="s">
        <v>3</v>
      </c>
      <c r="C63" s="75" t="s">
        <v>106</v>
      </c>
      <c r="D63" s="67"/>
      <c r="E63" s="75" t="s">
        <v>107</v>
      </c>
      <c r="F63" s="67"/>
      <c r="G63" s="66" t="s">
        <v>108</v>
      </c>
      <c r="H63" s="67"/>
      <c r="I63" s="66" t="s">
        <v>109</v>
      </c>
      <c r="J63" s="67"/>
      <c r="K63" s="66" t="s">
        <v>110</v>
      </c>
      <c r="L63" s="67"/>
      <c r="M63" s="66" t="s">
        <v>111</v>
      </c>
      <c r="N63" s="67"/>
      <c r="O63" s="66" t="s">
        <v>32</v>
      </c>
      <c r="P63" s="29"/>
      <c r="Q63" s="22"/>
    </row>
    <row r="64" spans="2:21" s="23" customFormat="1" ht="17.5" customHeight="1" x14ac:dyDescent="0.45">
      <c r="B64" s="50"/>
      <c r="C64" s="75"/>
      <c r="D64" s="67"/>
      <c r="E64" s="75"/>
      <c r="F64" s="67"/>
      <c r="G64" s="66"/>
      <c r="H64" s="67"/>
      <c r="I64" s="66"/>
      <c r="J64" s="67"/>
      <c r="K64" s="66"/>
      <c r="L64" s="67"/>
      <c r="M64" s="66"/>
      <c r="N64" s="67"/>
      <c r="O64" s="66"/>
      <c r="P64" s="29"/>
      <c r="Q64" s="22"/>
    </row>
    <row r="65" spans="1:21" s="23" customFormat="1" ht="17.5" customHeight="1" x14ac:dyDescent="0.45">
      <c r="B65" s="50" t="s">
        <v>4</v>
      </c>
      <c r="C65" s="75" t="s">
        <v>53</v>
      </c>
      <c r="D65" s="67"/>
      <c r="E65" s="75" t="s">
        <v>112</v>
      </c>
      <c r="F65" s="67"/>
      <c r="G65" s="66" t="s">
        <v>113</v>
      </c>
      <c r="H65" s="67"/>
      <c r="I65" s="66" t="s">
        <v>114</v>
      </c>
      <c r="J65" s="67"/>
      <c r="K65" s="66" t="s">
        <v>115</v>
      </c>
      <c r="L65" s="67"/>
      <c r="M65" s="66" t="s">
        <v>97</v>
      </c>
      <c r="N65" s="67"/>
      <c r="O65" s="66" t="s">
        <v>32</v>
      </c>
      <c r="P65" s="29"/>
      <c r="Q65" s="22"/>
    </row>
    <row r="66" spans="1:21" s="23" customFormat="1" ht="17.5" customHeight="1" x14ac:dyDescent="0.45">
      <c r="B66" s="50"/>
      <c r="C66" s="75"/>
      <c r="D66" s="67"/>
      <c r="E66" s="75"/>
      <c r="F66" s="67"/>
      <c r="G66" s="66"/>
      <c r="H66" s="67"/>
      <c r="I66" s="66"/>
      <c r="J66" s="67"/>
      <c r="K66" s="66"/>
      <c r="L66" s="67"/>
      <c r="M66" s="66"/>
      <c r="N66" s="67"/>
      <c r="O66" s="66"/>
      <c r="P66" s="29"/>
      <c r="Q66" s="22"/>
    </row>
    <row r="67" spans="1:21" s="23" customFormat="1" ht="17.5" customHeight="1" x14ac:dyDescent="0.45">
      <c r="B67" s="50" t="s">
        <v>30</v>
      </c>
      <c r="C67" s="75" t="s">
        <v>39</v>
      </c>
      <c r="D67" s="67"/>
      <c r="E67" s="75" t="s">
        <v>38</v>
      </c>
      <c r="F67" s="67"/>
      <c r="G67" s="66" t="s">
        <v>116</v>
      </c>
      <c r="H67" s="67"/>
      <c r="I67" s="66" t="s">
        <v>117</v>
      </c>
      <c r="J67" s="67"/>
      <c r="K67" s="66" t="s">
        <v>85</v>
      </c>
      <c r="L67" s="67"/>
      <c r="M67" s="66" t="s">
        <v>38</v>
      </c>
      <c r="N67" s="67"/>
      <c r="O67" s="66" t="s">
        <v>32</v>
      </c>
      <c r="P67" s="29"/>
      <c r="Q67" s="22"/>
    </row>
    <row r="68" spans="1:21" s="23" customFormat="1" ht="17.5" customHeight="1" x14ac:dyDescent="0.45">
      <c r="B68" s="50"/>
      <c r="C68" s="75"/>
      <c r="D68" s="67"/>
      <c r="E68" s="75"/>
      <c r="F68" s="67"/>
      <c r="G68" s="66"/>
      <c r="H68" s="67"/>
      <c r="I68" s="66"/>
      <c r="J68" s="67"/>
      <c r="K68" s="66"/>
      <c r="L68" s="67"/>
      <c r="M68" s="66"/>
      <c r="N68" s="67"/>
      <c r="O68" s="66"/>
      <c r="P68" s="29"/>
      <c r="Q68" s="22"/>
    </row>
    <row r="69" spans="1:21" s="23" customFormat="1" ht="17.5" customHeight="1" x14ac:dyDescent="0.45">
      <c r="B69" s="50" t="s">
        <v>6</v>
      </c>
      <c r="C69" s="75" t="s">
        <v>40</v>
      </c>
      <c r="D69" s="67"/>
      <c r="E69" s="75" t="s">
        <v>118</v>
      </c>
      <c r="F69" s="67"/>
      <c r="G69" s="66" t="s">
        <v>119</v>
      </c>
      <c r="H69" s="67"/>
      <c r="I69" s="66" t="s">
        <v>120</v>
      </c>
      <c r="J69" s="67"/>
      <c r="K69" s="66" t="s">
        <v>121</v>
      </c>
      <c r="L69" s="67"/>
      <c r="M69" s="66" t="s">
        <v>122</v>
      </c>
      <c r="N69" s="67"/>
      <c r="O69" s="66" t="s">
        <v>32</v>
      </c>
      <c r="P69" s="29"/>
      <c r="Q69" s="22"/>
    </row>
    <row r="70" spans="1:21" s="23" customFormat="1" ht="17.5" customHeight="1" x14ac:dyDescent="0.45">
      <c r="B70" s="50"/>
      <c r="C70" s="75"/>
      <c r="D70" s="67"/>
      <c r="E70" s="75"/>
      <c r="F70" s="67"/>
      <c r="G70" s="66"/>
      <c r="H70" s="67"/>
      <c r="I70" s="66"/>
      <c r="J70" s="67"/>
      <c r="K70" s="66"/>
      <c r="L70" s="67"/>
      <c r="M70" s="66"/>
      <c r="N70" s="67"/>
      <c r="O70" s="66"/>
      <c r="P70" s="29"/>
      <c r="Q70" s="22"/>
    </row>
    <row r="71" spans="1:21" s="23" customFormat="1" ht="17.5" customHeight="1" x14ac:dyDescent="0.45">
      <c r="B71" s="50"/>
      <c r="C71" s="75"/>
      <c r="D71" s="67"/>
      <c r="E71" s="75"/>
      <c r="F71" s="67"/>
      <c r="G71" s="66"/>
      <c r="H71" s="67"/>
      <c r="I71" s="66"/>
      <c r="J71" s="67"/>
      <c r="K71" s="66"/>
      <c r="L71" s="67"/>
      <c r="M71" s="66"/>
      <c r="N71" s="67"/>
      <c r="O71" s="66"/>
      <c r="P71" s="29"/>
      <c r="Q71" s="22"/>
    </row>
    <row r="72" spans="1:21" s="23" customFormat="1" ht="17.5" customHeight="1" x14ac:dyDescent="0.45">
      <c r="B72" s="62"/>
      <c r="C72" s="31"/>
      <c r="D72" s="32"/>
      <c r="E72" s="31"/>
      <c r="F72" s="32"/>
      <c r="G72" s="33"/>
      <c r="H72" s="32"/>
      <c r="I72" s="33"/>
      <c r="J72" s="32"/>
      <c r="K72" s="33"/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63"/>
      <c r="C73" s="55" t="str">
        <f>IF(DAY(OctSun1)=1,IF(AND(YEAR(OctSun1+29)=CalendarYear,MONTH(OctSun1+29)=10),OctSun1+29,""),IF(AND(YEAR(OctSun1+36)=CalendarYear,MONTH(OctSun1+36)=10),OctSun1+36,""))</f>
        <v/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43" t="s">
        <v>123</v>
      </c>
      <c r="H74" s="144"/>
      <c r="I74" s="144"/>
      <c r="J74" s="144"/>
      <c r="K74" s="144"/>
      <c r="L74" s="144"/>
      <c r="M74" s="144"/>
      <c r="N74" s="144"/>
      <c r="O74" s="144"/>
      <c r="P74" s="145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46"/>
      <c r="H75" s="147"/>
      <c r="I75" s="147"/>
      <c r="J75" s="147"/>
      <c r="K75" s="147"/>
      <c r="L75" s="147"/>
      <c r="M75" s="147"/>
      <c r="N75" s="147"/>
      <c r="O75" s="147"/>
      <c r="P75" s="14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46"/>
      <c r="H76" s="147"/>
      <c r="I76" s="147"/>
      <c r="J76" s="147"/>
      <c r="K76" s="147"/>
      <c r="L76" s="147"/>
      <c r="M76" s="147"/>
      <c r="N76" s="147"/>
      <c r="O76" s="147"/>
      <c r="P76" s="148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46"/>
      <c r="H77" s="147"/>
      <c r="I77" s="147"/>
      <c r="J77" s="147"/>
      <c r="K77" s="147"/>
      <c r="L77" s="147"/>
      <c r="M77" s="147"/>
      <c r="N77" s="147"/>
      <c r="O77" s="147"/>
      <c r="P77" s="148"/>
      <c r="Q77" s="22"/>
    </row>
    <row r="78" spans="1:21" s="23" customFormat="1" ht="17.5" customHeight="1" x14ac:dyDescent="0.45">
      <c r="B78" s="50" t="s">
        <v>4</v>
      </c>
      <c r="C78" s="37"/>
      <c r="D78" s="38"/>
      <c r="E78" s="37"/>
      <c r="F78" s="38"/>
      <c r="G78" s="146"/>
      <c r="H78" s="147"/>
      <c r="I78" s="147"/>
      <c r="J78" s="147"/>
      <c r="K78" s="147"/>
      <c r="L78" s="147"/>
      <c r="M78" s="147"/>
      <c r="N78" s="147"/>
      <c r="O78" s="147"/>
      <c r="P78" s="14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46"/>
      <c r="H79" s="147"/>
      <c r="I79" s="147"/>
      <c r="J79" s="147"/>
      <c r="K79" s="147"/>
      <c r="L79" s="147"/>
      <c r="M79" s="147"/>
      <c r="N79" s="147"/>
      <c r="O79" s="147"/>
      <c r="P79" s="148"/>
      <c r="Q79" s="22"/>
    </row>
    <row r="80" spans="1:21" s="23" customFormat="1" ht="17.5" customHeight="1" x14ac:dyDescent="0.45">
      <c r="B80" s="50" t="s">
        <v>30</v>
      </c>
      <c r="C80" s="37"/>
      <c r="D80" s="38"/>
      <c r="E80" s="37"/>
      <c r="F80" s="38"/>
      <c r="G80" s="146"/>
      <c r="H80" s="147"/>
      <c r="I80" s="147"/>
      <c r="J80" s="147"/>
      <c r="K80" s="147"/>
      <c r="L80" s="147"/>
      <c r="M80" s="147"/>
      <c r="N80" s="147"/>
      <c r="O80" s="147"/>
      <c r="P80" s="148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46"/>
      <c r="H81" s="147"/>
      <c r="I81" s="147"/>
      <c r="J81" s="147"/>
      <c r="K81" s="147"/>
      <c r="L81" s="147"/>
      <c r="M81" s="147"/>
      <c r="N81" s="147"/>
      <c r="O81" s="147"/>
      <c r="P81" s="148"/>
      <c r="Q81" s="22"/>
    </row>
    <row r="82" spans="1:17" s="23" customFormat="1" ht="17.5" customHeight="1" x14ac:dyDescent="0.45">
      <c r="B82" s="50" t="s">
        <v>6</v>
      </c>
      <c r="C82" s="37"/>
      <c r="D82" s="38"/>
      <c r="E82" s="37"/>
      <c r="F82" s="38"/>
      <c r="G82" s="146"/>
      <c r="H82" s="147"/>
      <c r="I82" s="147"/>
      <c r="J82" s="147"/>
      <c r="K82" s="147"/>
      <c r="L82" s="147"/>
      <c r="M82" s="147"/>
      <c r="N82" s="147"/>
      <c r="O82" s="147"/>
      <c r="P82" s="148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146"/>
      <c r="H83" s="147"/>
      <c r="I83" s="147"/>
      <c r="J83" s="147"/>
      <c r="K83" s="147"/>
      <c r="L83" s="147"/>
      <c r="M83" s="147"/>
      <c r="N83" s="147"/>
      <c r="O83" s="147"/>
      <c r="P83" s="14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46"/>
      <c r="H84" s="147"/>
      <c r="I84" s="147"/>
      <c r="J84" s="147"/>
      <c r="K84" s="147"/>
      <c r="L84" s="147"/>
      <c r="M84" s="147"/>
      <c r="N84" s="147"/>
      <c r="O84" s="147"/>
      <c r="P84" s="148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149"/>
      <c r="H85" s="150"/>
      <c r="I85" s="150"/>
      <c r="J85" s="150"/>
      <c r="K85" s="150"/>
      <c r="L85" s="150"/>
      <c r="M85" s="150"/>
      <c r="N85" s="150"/>
      <c r="O85" s="150"/>
      <c r="P85" s="151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zoomScale="50" zoomScaleNormal="50" workbookViewId="0">
      <selection activeCell="K11" sqref="K11"/>
    </sheetView>
  </sheetViews>
  <sheetFormatPr defaultColWidth="6.69140625" defaultRowHeight="20" x14ac:dyDescent="0.4"/>
  <cols>
    <col min="1" max="1" width="5.53515625" style="76" customWidth="1"/>
    <col min="2" max="2" width="19" style="76" customWidth="1"/>
    <col min="3" max="3" width="33.921875" style="76" customWidth="1"/>
    <col min="4" max="4" width="7.4609375" style="77" customWidth="1"/>
    <col min="5" max="5" width="37.3046875" style="76" customWidth="1"/>
    <col min="6" max="6" width="7.4609375" style="77" customWidth="1"/>
    <col min="7" max="7" width="27.69140625" style="76" customWidth="1"/>
    <col min="8" max="8" width="7.4609375" style="77" customWidth="1"/>
    <col min="9" max="9" width="31.69140625" style="76" customWidth="1"/>
    <col min="10" max="10" width="7.4609375" style="77" customWidth="1"/>
    <col min="11" max="11" width="37.23046875" style="76" customWidth="1"/>
    <col min="12" max="12" width="7.4609375" style="77" customWidth="1"/>
    <col min="13" max="13" width="30.6914062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165"/>
      <c r="C4" s="165"/>
      <c r="R4" s="78"/>
      <c r="S4" s="78"/>
      <c r="BB4" s="79"/>
      <c r="BC4" s="79"/>
      <c r="BD4" s="79"/>
      <c r="BK4" s="152"/>
      <c r="BL4" s="152"/>
      <c r="BM4" s="152"/>
      <c r="BN4" s="152"/>
      <c r="CH4" s="80"/>
    </row>
    <row r="5" spans="1:88" ht="30" customHeight="1" x14ac:dyDescent="0.4">
      <c r="B5" s="165"/>
      <c r="C5" s="165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152"/>
      <c r="BL5" s="152"/>
      <c r="BM5" s="152"/>
      <c r="BN5" s="152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166" t="s">
        <v>24</v>
      </c>
      <c r="H6" s="166"/>
      <c r="I6" s="122" t="str">
        <f>UPPER(TEXT(DATE(CalendarYear,1,1)," yyyy"))</f>
        <v xml:space="preserve"> 2021</v>
      </c>
      <c r="J6" s="83"/>
      <c r="K6" s="123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153"/>
      <c r="CC6" s="153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>
        <f>IF(DAY(NovSun1)=1,"",IF(AND(YEAR(NovSun1+1)=CalendarYear,MONTH(NovSun1+1)=11),NovSun1+1,""))</f>
        <v>44501</v>
      </c>
      <c r="D8" s="91" t="s">
        <v>29</v>
      </c>
      <c r="E8" s="55">
        <f>IF(DAY(NovSun1)=1,"",IF(AND(YEAR(NovSun1+2)=CalendarYear,MONTH(NovSun1+2)=11),NovSun1+2,""))</f>
        <v>44502</v>
      </c>
      <c r="F8" s="91" t="s">
        <v>29</v>
      </c>
      <c r="G8" s="56">
        <f>IF(DAY(NovSun1)=1,"",IF(AND(YEAR(NovSun1+3)=CalendarYear,MONTH(NovSun1+3)=11),NovSun1+3,""))</f>
        <v>44503</v>
      </c>
      <c r="H8" s="91" t="s">
        <v>29</v>
      </c>
      <c r="I8" s="56">
        <f>IF(DAY(NovSun1)=1,"",IF(AND(YEAR(NovSun1+4)=CalendarYear,MONTH(NovSun1+4)=11),NovSun1+4,""))</f>
        <v>44504</v>
      </c>
      <c r="J8" s="91" t="s">
        <v>29</v>
      </c>
      <c r="K8" s="56">
        <f>IF(DAY(NovSun1)=1,"",IF(AND(YEAR(NovSun1+5)=CalendarYear,MONTH(NovSun1+5)=11),NovSun1+5,""))</f>
        <v>44505</v>
      </c>
      <c r="L8" s="91" t="s">
        <v>29</v>
      </c>
      <c r="M8" s="56">
        <f>IF(DAY(NovSun1)=1,"",IF(AND(YEAR(NovSun1+6)=CalendarYear,MONTH(NovSun1+6)=11),NovSun1+6,""))</f>
        <v>44506</v>
      </c>
      <c r="N8" s="91" t="s">
        <v>29</v>
      </c>
      <c r="O8" s="56">
        <f>IF(DAY(NovSun1)=1,IF(AND(YEAR(NovSun1)=CalendarYear,MONTH(NovSun1)=11),NovSun1,""),IF(AND(YEAR(NovSun1+7)=CalendarYear,MONTH(NovSun1+7)=11),NovSun1+7,""))</f>
        <v>44507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 t="s">
        <v>89</v>
      </c>
      <c r="D9" s="95"/>
      <c r="E9" s="94" t="s">
        <v>143</v>
      </c>
      <c r="F9" s="95"/>
      <c r="G9" s="96" t="s">
        <v>67</v>
      </c>
      <c r="H9" s="95"/>
      <c r="I9" s="96" t="s">
        <v>44</v>
      </c>
      <c r="J9" s="95"/>
      <c r="K9" s="96" t="s">
        <v>45</v>
      </c>
      <c r="L9" s="95"/>
      <c r="M9" s="96" t="s">
        <v>42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124" t="s">
        <v>142</v>
      </c>
      <c r="D11" s="99"/>
      <c r="E11" s="98" t="s">
        <v>144</v>
      </c>
      <c r="F11" s="99"/>
      <c r="G11" s="100" t="s">
        <v>146</v>
      </c>
      <c r="H11" s="99"/>
      <c r="I11" s="125" t="s">
        <v>173</v>
      </c>
      <c r="J11" s="99"/>
      <c r="K11" s="100" t="s">
        <v>149</v>
      </c>
      <c r="L11" s="99"/>
      <c r="M11" s="100" t="s">
        <v>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25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 t="s">
        <v>35</v>
      </c>
      <c r="D13" s="99"/>
      <c r="E13" s="98" t="s">
        <v>145</v>
      </c>
      <c r="F13" s="99"/>
      <c r="G13" s="100" t="s">
        <v>147</v>
      </c>
      <c r="H13" s="99"/>
      <c r="I13" s="125" t="s">
        <v>77</v>
      </c>
      <c r="J13" s="99"/>
      <c r="K13" s="100" t="s">
        <v>150</v>
      </c>
      <c r="L13" s="99"/>
      <c r="M13" s="100" t="s">
        <v>152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 t="s">
        <v>57</v>
      </c>
      <c r="D15" s="99"/>
      <c r="E15" s="98" t="s">
        <v>38</v>
      </c>
      <c r="F15" s="99"/>
      <c r="G15" s="100" t="s">
        <v>148</v>
      </c>
      <c r="H15" s="99"/>
      <c r="I15" s="100" t="s">
        <v>38</v>
      </c>
      <c r="J15" s="99"/>
      <c r="K15" s="100" t="s">
        <v>151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 t="s">
        <v>40</v>
      </c>
      <c r="D17" s="99"/>
      <c r="E17" s="98" t="s">
        <v>82</v>
      </c>
      <c r="F17" s="99"/>
      <c r="G17" s="100" t="s">
        <v>39</v>
      </c>
      <c r="H17" s="99"/>
      <c r="I17" s="100" t="s">
        <v>140</v>
      </c>
      <c r="J17" s="99"/>
      <c r="K17" s="100" t="s">
        <v>121</v>
      </c>
      <c r="L17" s="99"/>
      <c r="M17" s="100" t="s">
        <v>40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IF(DAY(NovSun1)=1,IF(AND(YEAR(NovSun1+1)=CalendarYear,MONTH(NovSun1+1)=11),NovSun1+1,""),IF(AND(YEAR(NovSun1+8)=CalendarYear,MONTH(NovSun1+8)=11),NovSun1+8,""))</f>
        <v>44508</v>
      </c>
      <c r="D21" s="91" t="s">
        <v>29</v>
      </c>
      <c r="E21" s="55">
        <f>IF(DAY(NovSun1)=1,IF(AND(YEAR(NovSun1+2)=CalendarYear,MONTH(NovSun1+2)=11),NovSun1+2,""),IF(AND(YEAR(NovSun1+9)=CalendarYear,MONTH(NovSun1+9)=11),NovSun1+9,""))</f>
        <v>44509</v>
      </c>
      <c r="F21" s="91" t="s">
        <v>29</v>
      </c>
      <c r="G21" s="56">
        <f>IF(DAY(NovSun1)=1,IF(AND(YEAR(NovSun1+3)=CalendarYear,MONTH(NovSun1+3)=11),NovSun1+3,""),IF(AND(YEAR(NovSun1+10)=CalendarYear,MONTH(NovSun1+10)=11),NovSun1+10,""))</f>
        <v>44510</v>
      </c>
      <c r="H21" s="91" t="s">
        <v>29</v>
      </c>
      <c r="I21" s="56">
        <f>IF(DAY(NovSun1)=1,IF(AND(YEAR(NovSun1+4)=CalendarYear,MONTH(NovSun1+4)=11),NovSun1+4,""),IF(AND(YEAR(NovSun1+11)=CalendarYear,MONTH(NovSun1+11)=11),NovSun1+11,""))</f>
        <v>44511</v>
      </c>
      <c r="J21" s="91" t="s">
        <v>29</v>
      </c>
      <c r="K21" s="56">
        <f>IF(DAY(NovSun1)=1,IF(AND(YEAR(NovSun1+5)=CalendarYear,MONTH(NovSun1+5)=11),NovSun1+5,""),IF(AND(YEAR(NovSun1+12)=CalendarYear,MONTH(NovSun1+12)=11),NovSun1+12,""))</f>
        <v>44512</v>
      </c>
      <c r="L21" s="91" t="s">
        <v>29</v>
      </c>
      <c r="M21" s="56">
        <f>IF(DAY(NovSun1)=1,IF(AND(YEAR(NovSun1+6)=CalendarYear,MONTH(NovSun1+6)=11),NovSun1+6,""),IF(AND(YEAR(NovSun1+13)=CalendarYear,MONTH(NovSun1+13)=11),NovSun1+13,""))</f>
        <v>44513</v>
      </c>
      <c r="N21" s="91" t="s">
        <v>29</v>
      </c>
      <c r="O21" s="56">
        <f>IF(DAY(NovSun1)=1,IF(AND(YEAR(NovSun1+7)=CalendarYear,MONTH(NovSun1+7)=11),NovSun1+7,""),IF(AND(YEAR(NovSun1+14)=CalendarYear,MONTH(NovSun1+14)=11),NovSun1+14,""))</f>
        <v>44514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45</v>
      </c>
      <c r="D22" s="106"/>
      <c r="E22" s="107" t="s">
        <v>105</v>
      </c>
      <c r="F22" s="106"/>
      <c r="G22" s="107" t="s">
        <v>155</v>
      </c>
      <c r="H22" s="106"/>
      <c r="I22" s="107" t="s">
        <v>125</v>
      </c>
      <c r="J22" s="106"/>
      <c r="K22" s="105" t="s">
        <v>154</v>
      </c>
      <c r="L22" s="106"/>
      <c r="M22" s="107" t="s">
        <v>157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10"/>
      <c r="F23" s="109"/>
      <c r="G23" s="110"/>
      <c r="H23" s="109"/>
      <c r="I23" s="110"/>
      <c r="J23" s="109"/>
      <c r="K23" s="108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175</v>
      </c>
      <c r="D24" s="109"/>
      <c r="E24" s="110" t="s">
        <v>106</v>
      </c>
      <c r="F24" s="109"/>
      <c r="G24" s="110" t="s">
        <v>156</v>
      </c>
      <c r="H24" s="109"/>
      <c r="I24" s="110" t="s">
        <v>179</v>
      </c>
      <c r="J24" s="109"/>
      <c r="K24" s="108" t="s">
        <v>153</v>
      </c>
      <c r="L24" s="109"/>
      <c r="M24" s="110" t="s">
        <v>72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10"/>
      <c r="F25" s="109"/>
      <c r="G25" s="110"/>
      <c r="H25" s="109"/>
      <c r="I25" s="110"/>
      <c r="J25" s="109"/>
      <c r="K25" s="108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75</v>
      </c>
      <c r="D26" s="109"/>
      <c r="E26" s="110" t="s">
        <v>53</v>
      </c>
      <c r="F26" s="109"/>
      <c r="G26" s="110" t="s">
        <v>97</v>
      </c>
      <c r="H26" s="109"/>
      <c r="I26" s="110" t="s">
        <v>178</v>
      </c>
      <c r="J26" s="109"/>
      <c r="K26" s="108" t="s">
        <v>97</v>
      </c>
      <c r="L26" s="109"/>
      <c r="M26" s="110" t="s">
        <v>77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10"/>
      <c r="F27" s="109"/>
      <c r="G27" s="110"/>
      <c r="H27" s="109"/>
      <c r="I27" s="110"/>
      <c r="J27" s="109"/>
      <c r="K27" s="108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57</v>
      </c>
      <c r="D28" s="109"/>
      <c r="E28" s="110" t="s">
        <v>176</v>
      </c>
      <c r="F28" s="109"/>
      <c r="G28" s="110" t="s">
        <v>177</v>
      </c>
      <c r="H28" s="109"/>
      <c r="I28" s="110" t="s">
        <v>39</v>
      </c>
      <c r="J28" s="109"/>
      <c r="K28" s="108" t="s">
        <v>85</v>
      </c>
      <c r="L28" s="109"/>
      <c r="M28" s="110" t="s">
        <v>38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10"/>
      <c r="F29" s="109"/>
      <c r="G29" s="110"/>
      <c r="H29" s="109"/>
      <c r="I29" s="110"/>
      <c r="J29" s="109"/>
      <c r="K29" s="108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129</v>
      </c>
      <c r="D30" s="109"/>
      <c r="E30" s="110" t="s">
        <v>64</v>
      </c>
      <c r="F30" s="109"/>
      <c r="G30" s="110" t="s">
        <v>38</v>
      </c>
      <c r="H30" s="109"/>
      <c r="I30" s="110" t="s">
        <v>40</v>
      </c>
      <c r="J30" s="109"/>
      <c r="K30" s="108" t="s">
        <v>84</v>
      </c>
      <c r="L30" s="109"/>
      <c r="M30" s="110" t="s">
        <v>40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IF(DAY(NovSun1)=1,IF(AND(YEAR(NovSun1+8)=CalendarYear,MONTH(NovSun1+8)=11),NovSun1+8,""),IF(AND(YEAR(NovSun1+15)=CalendarYear,MONTH(NovSun1+15)=11),NovSun1+15,""))</f>
        <v>44515</v>
      </c>
      <c r="D34" s="91" t="s">
        <v>29</v>
      </c>
      <c r="E34" s="55">
        <f>IF(DAY(NovSun1)=1,IF(AND(YEAR(NovSun1+9)=CalendarYear,MONTH(NovSun1+9)=11),NovSun1+9,""),IF(AND(YEAR(NovSun1+16)=CalendarYear,MONTH(NovSun1+16)=11),NovSun1+16,""))</f>
        <v>44516</v>
      </c>
      <c r="F34" s="91" t="s">
        <v>29</v>
      </c>
      <c r="G34" s="56">
        <f>IF(DAY(NovSun1)=1,IF(AND(YEAR(NovSun1+10)=CalendarYear,MONTH(NovSun1+10)=11),NovSun1+10,""),IF(AND(YEAR(NovSun1+17)=CalendarYear,MONTH(NovSun1+17)=11),NovSun1+17,""))</f>
        <v>44517</v>
      </c>
      <c r="H34" s="91" t="s">
        <v>29</v>
      </c>
      <c r="I34" s="56">
        <f>IF(DAY(NovSun1)=1,IF(AND(YEAR(NovSun1+11)=CalendarYear,MONTH(NovSun1+11)=11),NovSun1+11,""),IF(AND(YEAR(NovSun1+18)=CalendarYear,MONTH(NovSun1+18)=11),NovSun1+18,""))</f>
        <v>44518</v>
      </c>
      <c r="J34" s="91" t="s">
        <v>29</v>
      </c>
      <c r="K34" s="56">
        <f>IF(DAY(NovSun1)=1,IF(AND(YEAR(NovSun1+12)=CalendarYear,MONTH(NovSun1+12)=11),NovSun1+12,""),IF(AND(YEAR(NovSun1+19)=CalendarYear,MONTH(NovSun1+19)=11),NovSun1+19,""))</f>
        <v>44519</v>
      </c>
      <c r="L34" s="91" t="s">
        <v>29</v>
      </c>
      <c r="M34" s="56">
        <f>IF(DAY(NovSun1)=1,IF(AND(YEAR(NovSun1+13)=CalendarYear,MONTH(NovSun1+13)=11),NovSun1+13,""),IF(AND(YEAR(NovSun1+20)=CalendarYear,MONTH(NovSun1+20)=11),NovSun1+20,""))</f>
        <v>44520</v>
      </c>
      <c r="N34" s="91" t="s">
        <v>29</v>
      </c>
      <c r="O34" s="56">
        <f>IF(DAY(NovSun1)=1,IF(AND(YEAR(NovSun1+14)=CalendarYear,MONTH(NovSun1+14)=11),NovSun1+14,""),IF(AND(YEAR(NovSun1+21)=CalendarYear,MONTH(NovSun1+21)=11),NovSun1+21,""))</f>
        <v>44521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31</v>
      </c>
      <c r="D35" s="95"/>
      <c r="E35" s="94" t="s">
        <v>131</v>
      </c>
      <c r="F35" s="95"/>
      <c r="G35" s="96" t="s">
        <v>134</v>
      </c>
      <c r="H35" s="95"/>
      <c r="I35" s="96" t="s">
        <v>137</v>
      </c>
      <c r="J35" s="95"/>
      <c r="K35" s="96" t="s">
        <v>41</v>
      </c>
      <c r="L35" s="95"/>
      <c r="M35" s="96" t="s">
        <v>44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46</v>
      </c>
      <c r="D37" s="99"/>
      <c r="E37" s="98" t="s">
        <v>132</v>
      </c>
      <c r="F37" s="99"/>
      <c r="G37" s="100" t="s">
        <v>135</v>
      </c>
      <c r="H37" s="99"/>
      <c r="I37" s="100" t="s">
        <v>138</v>
      </c>
      <c r="J37" s="99"/>
      <c r="K37" s="100" t="s">
        <v>107</v>
      </c>
      <c r="L37" s="99"/>
      <c r="M37" s="100" t="s">
        <v>34</v>
      </c>
      <c r="N37" s="99"/>
      <c r="O37" s="100" t="s">
        <v>141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130</v>
      </c>
      <c r="D39" s="99"/>
      <c r="E39" s="98" t="s">
        <v>52</v>
      </c>
      <c r="F39" s="99"/>
      <c r="G39" s="100" t="s">
        <v>97</v>
      </c>
      <c r="H39" s="99"/>
      <c r="I39" s="100" t="s">
        <v>139</v>
      </c>
      <c r="J39" s="99"/>
      <c r="K39" s="100" t="s">
        <v>97</v>
      </c>
      <c r="L39" s="99"/>
      <c r="M39" s="100" t="s">
        <v>77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57</v>
      </c>
      <c r="D41" s="99"/>
      <c r="E41" s="98" t="s">
        <v>38</v>
      </c>
      <c r="F41" s="99"/>
      <c r="G41" s="100" t="s">
        <v>136</v>
      </c>
      <c r="H41" s="99"/>
      <c r="I41" s="100" t="s">
        <v>85</v>
      </c>
      <c r="J41" s="99"/>
      <c r="K41" s="100" t="s">
        <v>38</v>
      </c>
      <c r="L41" s="99"/>
      <c r="M41" s="100" t="s">
        <v>38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40</v>
      </c>
      <c r="D43" s="99"/>
      <c r="E43" s="98" t="s">
        <v>133</v>
      </c>
      <c r="F43" s="99"/>
      <c r="G43" s="100" t="s">
        <v>39</v>
      </c>
      <c r="H43" s="99"/>
      <c r="I43" s="100" t="s">
        <v>140</v>
      </c>
      <c r="J43" s="99"/>
      <c r="K43" s="100" t="s">
        <v>66</v>
      </c>
      <c r="L43" s="99"/>
      <c r="M43" s="100" t="s">
        <v>40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IF(DAY(NovSun1)=1,IF(AND(YEAR(NovSun1+15)=CalendarYear,MONTH(NovSun1+15)=11),NovSun1+15,""),IF(AND(YEAR(NovSun1+22)=CalendarYear,MONTH(NovSun1+22)=11),NovSun1+22,""))</f>
        <v>44522</v>
      </c>
      <c r="D47" s="91" t="s">
        <v>29</v>
      </c>
      <c r="E47" s="55">
        <f>IF(DAY(NovSun1)=1,IF(AND(YEAR(NovSun1+16)=CalendarYear,MONTH(NovSun1+16)=11),NovSun1+16,""),IF(AND(YEAR(NovSun1+23)=CalendarYear,MONTH(NovSun1+23)=11),NovSun1+23,""))</f>
        <v>44523</v>
      </c>
      <c r="F47" s="91" t="s">
        <v>29</v>
      </c>
      <c r="G47" s="56">
        <f>IF(DAY(NovSun1)=1,IF(AND(YEAR(NovSun1+17)=CalendarYear,MONTH(NovSun1+17)=11),NovSun1+17,""),IF(AND(YEAR(NovSun1+24)=CalendarYear,MONTH(NovSun1+24)=11),NovSun1+24,""))</f>
        <v>44524</v>
      </c>
      <c r="H47" s="91" t="s">
        <v>29</v>
      </c>
      <c r="I47" s="56">
        <f>IF(DAY(NovSun1)=1,IF(AND(YEAR(NovSun1+18)=CalendarYear,MONTH(NovSun1+18)=11),NovSun1+18,""),IF(AND(YEAR(NovSun1+25)=CalendarYear,MONTH(NovSun1+25)=11),NovSun1+25,""))</f>
        <v>44525</v>
      </c>
      <c r="J47" s="91" t="s">
        <v>29</v>
      </c>
      <c r="K47" s="56">
        <f>IF(DAY(NovSun1)=1,IF(AND(YEAR(NovSun1+19)=CalendarYear,MONTH(NovSun1+19)=11),NovSun1+19,""),IF(AND(YEAR(NovSun1+26)=CalendarYear,MONTH(NovSun1+26)=11),NovSun1+26,""))</f>
        <v>44526</v>
      </c>
      <c r="L47" s="91" t="s">
        <v>29</v>
      </c>
      <c r="M47" s="56">
        <f>IF(DAY(NovSun1)=1,IF(AND(YEAR(NovSun1+20)=CalendarYear,MONTH(NovSun1+20)=11),NovSun1+20,""),IF(AND(YEAR(NovSun1+27)=CalendarYear,MONTH(NovSun1+27)=11),NovSun1+27,""))</f>
        <v>44527</v>
      </c>
      <c r="N47" s="91" t="s">
        <v>29</v>
      </c>
      <c r="O47" s="56">
        <f>IF(DAY(NovSun1)=1,IF(AND(YEAR(NovSun1+21)=CalendarYear,MONTH(NovSun1+21)=11),NovSun1+21,""),IF(AND(YEAR(NovSun1+28)=CalendarYear,MONTH(NovSun1+28)=11),NovSun1+28,""))</f>
        <v>44528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158</v>
      </c>
      <c r="D48" s="106"/>
      <c r="E48" s="105" t="s">
        <v>161</v>
      </c>
      <c r="F48" s="106"/>
      <c r="G48" s="107" t="s">
        <v>42</v>
      </c>
      <c r="H48" s="106"/>
      <c r="I48" s="107" t="s">
        <v>31</v>
      </c>
      <c r="J48" s="106"/>
      <c r="K48" s="107" t="s">
        <v>165</v>
      </c>
      <c r="L48" s="106"/>
      <c r="M48" s="107" t="s">
        <v>45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159</v>
      </c>
      <c r="D50" s="109"/>
      <c r="E50" s="108" t="s">
        <v>162</v>
      </c>
      <c r="F50" s="109"/>
      <c r="G50" s="110" t="s">
        <v>164</v>
      </c>
      <c r="H50" s="109"/>
      <c r="I50" s="110" t="s">
        <v>109</v>
      </c>
      <c r="J50" s="109"/>
      <c r="K50" s="110" t="s">
        <v>163</v>
      </c>
      <c r="L50" s="109"/>
      <c r="M50" s="110" t="s">
        <v>110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 t="s">
        <v>90</v>
      </c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160</v>
      </c>
      <c r="D52" s="109"/>
      <c r="E52" s="108" t="s">
        <v>97</v>
      </c>
      <c r="F52" s="109"/>
      <c r="G52" s="110" t="s">
        <v>174</v>
      </c>
      <c r="H52" s="109"/>
      <c r="I52" s="110" t="s">
        <v>97</v>
      </c>
      <c r="J52" s="109"/>
      <c r="K52" s="110" t="s">
        <v>56</v>
      </c>
      <c r="L52" s="109"/>
      <c r="M52" s="110" t="s">
        <v>166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57</v>
      </c>
      <c r="D54" s="109"/>
      <c r="E54" s="108" t="s">
        <v>38</v>
      </c>
      <c r="F54" s="109"/>
      <c r="G54" s="110" t="s">
        <v>40</v>
      </c>
      <c r="H54" s="109"/>
      <c r="I54" s="110" t="s">
        <v>38</v>
      </c>
      <c r="J54" s="109"/>
      <c r="K54" s="110" t="s">
        <v>79</v>
      </c>
      <c r="L54" s="109"/>
      <c r="M54" s="110" t="s">
        <v>127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40</v>
      </c>
      <c r="D56" s="109"/>
      <c r="E56" s="108" t="s">
        <v>66</v>
      </c>
      <c r="F56" s="109"/>
      <c r="G56" s="110" t="s">
        <v>122</v>
      </c>
      <c r="H56" s="109"/>
      <c r="I56" s="110" t="s">
        <v>40</v>
      </c>
      <c r="J56" s="109"/>
      <c r="K56" s="110" t="s">
        <v>39</v>
      </c>
      <c r="L56" s="109"/>
      <c r="M56" s="110" t="s">
        <v>85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IF(DAY(NovSun1)=1,IF(AND(YEAR(NovSun1+22)=CalendarYear,MONTH(NovSun1+22)=11),NovSun1+22,""),IF(AND(YEAR(NovSun1+29)=CalendarYear,MONTH(NovSun1+29)=11),NovSun1+29,""))</f>
        <v>44529</v>
      </c>
      <c r="D60" s="91" t="s">
        <v>29</v>
      </c>
      <c r="E60" s="55">
        <f>IF(DAY(NovSun1)=1,IF(AND(YEAR(NovSun1+23)=CalendarYear,MONTH(NovSun1+23)=11),NovSun1+23,""),IF(AND(YEAR(NovSun1+30)=CalendarYear,MONTH(NovSun1+30)=11),NovSun1+30,""))</f>
        <v>44530</v>
      </c>
      <c r="F60" s="91" t="s">
        <v>29</v>
      </c>
      <c r="G60" s="56" t="str">
        <f>IF(DAY(NovSun1)=1,IF(AND(YEAR(NovSun1+24)=CalendarYear,MONTH(NovSun1+24)=11),NovSun1+24,""),IF(AND(YEAR(NovSun1+31)=CalendarYear,MONTH(NovSun1+31)=11),NovSun1+31,""))</f>
        <v/>
      </c>
      <c r="H60" s="91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91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91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91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143</v>
      </c>
      <c r="D61" s="95"/>
      <c r="E61" s="94" t="s">
        <v>31</v>
      </c>
      <c r="F61" s="95"/>
      <c r="G61" s="96"/>
      <c r="H61" s="95"/>
      <c r="I61" s="96"/>
      <c r="J61" s="95"/>
      <c r="K61" s="94"/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98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167</v>
      </c>
      <c r="D63" s="99"/>
      <c r="E63" s="98" t="s">
        <v>169</v>
      </c>
      <c r="F63" s="99"/>
      <c r="G63" s="100"/>
      <c r="H63" s="99"/>
      <c r="I63" s="100"/>
      <c r="J63" s="99"/>
      <c r="K63" s="98"/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98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77</v>
      </c>
      <c r="D65" s="99"/>
      <c r="E65" s="98" t="s">
        <v>97</v>
      </c>
      <c r="F65" s="99"/>
      <c r="G65" s="100"/>
      <c r="H65" s="99"/>
      <c r="I65" s="100"/>
      <c r="J65" s="99"/>
      <c r="K65" s="98"/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98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38</v>
      </c>
      <c r="D67" s="99"/>
      <c r="E67" s="98" t="s">
        <v>39</v>
      </c>
      <c r="F67" s="99"/>
      <c r="G67" s="100"/>
      <c r="H67" s="99"/>
      <c r="I67" s="100"/>
      <c r="J67" s="99"/>
      <c r="K67" s="98"/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98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168</v>
      </c>
      <c r="D69" s="99"/>
      <c r="E69" s="98" t="s">
        <v>170</v>
      </c>
      <c r="F69" s="99"/>
      <c r="G69" s="100"/>
      <c r="H69" s="99"/>
      <c r="I69" s="100"/>
      <c r="J69" s="99"/>
      <c r="K69" s="98"/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91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156" t="s">
        <v>172</v>
      </c>
      <c r="H74" s="157"/>
      <c r="I74" s="157"/>
      <c r="J74" s="157"/>
      <c r="K74" s="157"/>
      <c r="L74" s="157"/>
      <c r="M74" s="157"/>
      <c r="N74" s="157"/>
      <c r="O74" s="157"/>
      <c r="P74" s="158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159"/>
      <c r="H75" s="160"/>
      <c r="I75" s="160"/>
      <c r="J75" s="160"/>
      <c r="K75" s="160"/>
      <c r="L75" s="160"/>
      <c r="M75" s="160"/>
      <c r="N75" s="160"/>
      <c r="O75" s="160"/>
      <c r="P75" s="161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159"/>
      <c r="H76" s="160"/>
      <c r="I76" s="160"/>
      <c r="J76" s="160"/>
      <c r="K76" s="160"/>
      <c r="L76" s="160"/>
      <c r="M76" s="160"/>
      <c r="N76" s="160"/>
      <c r="O76" s="160"/>
      <c r="P76" s="161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159"/>
      <c r="H77" s="160"/>
      <c r="I77" s="160"/>
      <c r="J77" s="160"/>
      <c r="K77" s="160"/>
      <c r="L77" s="160"/>
      <c r="M77" s="160"/>
      <c r="N77" s="160"/>
      <c r="O77" s="160"/>
      <c r="P77" s="161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159"/>
      <c r="H78" s="160"/>
      <c r="I78" s="160"/>
      <c r="J78" s="160"/>
      <c r="K78" s="160"/>
      <c r="L78" s="160"/>
      <c r="M78" s="160"/>
      <c r="N78" s="160"/>
      <c r="O78" s="160"/>
      <c r="P78" s="161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159"/>
      <c r="H79" s="160"/>
      <c r="I79" s="160"/>
      <c r="J79" s="160"/>
      <c r="K79" s="160"/>
      <c r="L79" s="160"/>
      <c r="M79" s="160"/>
      <c r="N79" s="160"/>
      <c r="O79" s="160"/>
      <c r="P79" s="161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159"/>
      <c r="H80" s="160"/>
      <c r="I80" s="160"/>
      <c r="J80" s="160"/>
      <c r="K80" s="160"/>
      <c r="L80" s="160"/>
      <c r="M80" s="160"/>
      <c r="N80" s="160"/>
      <c r="O80" s="160"/>
      <c r="P80" s="161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159"/>
      <c r="H81" s="160"/>
      <c r="I81" s="160"/>
      <c r="J81" s="160"/>
      <c r="K81" s="160"/>
      <c r="L81" s="160"/>
      <c r="M81" s="160"/>
      <c r="N81" s="160"/>
      <c r="O81" s="160"/>
      <c r="P81" s="161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159"/>
      <c r="H82" s="160"/>
      <c r="I82" s="160"/>
      <c r="J82" s="160"/>
      <c r="K82" s="160"/>
      <c r="L82" s="160"/>
      <c r="M82" s="160"/>
      <c r="N82" s="160"/>
      <c r="O82" s="160"/>
      <c r="P82" s="161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159"/>
      <c r="H83" s="160"/>
      <c r="I83" s="160"/>
      <c r="J83" s="160"/>
      <c r="K83" s="160"/>
      <c r="L83" s="160"/>
      <c r="M83" s="160"/>
      <c r="N83" s="160"/>
      <c r="O83" s="160"/>
      <c r="P83" s="161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159"/>
      <c r="H84" s="160"/>
      <c r="I84" s="160"/>
      <c r="J84" s="160"/>
      <c r="K84" s="160"/>
      <c r="L84" s="160"/>
      <c r="M84" s="160"/>
      <c r="N84" s="160"/>
      <c r="O84" s="160"/>
      <c r="P84" s="161"/>
      <c r="Q84" s="97"/>
    </row>
    <row r="85" spans="1:17" s="92" customFormat="1" ht="17.5" customHeight="1" x14ac:dyDescent="0.5">
      <c r="B85" s="101"/>
      <c r="C85" s="111" t="s">
        <v>5</v>
      </c>
      <c r="D85" s="112"/>
      <c r="E85" s="111" t="s">
        <v>5</v>
      </c>
      <c r="F85" s="112"/>
      <c r="G85" s="162"/>
      <c r="H85" s="163"/>
      <c r="I85" s="163"/>
      <c r="J85" s="163"/>
      <c r="K85" s="163"/>
      <c r="L85" s="163"/>
      <c r="M85" s="163"/>
      <c r="N85" s="163"/>
      <c r="O85" s="163"/>
      <c r="P85" s="164"/>
      <c r="Q85" s="97"/>
    </row>
    <row r="86" spans="1:17" ht="22.75" customHeight="1" x14ac:dyDescent="0.4">
      <c r="B86" s="154" t="s">
        <v>27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</row>
    <row r="87" spans="1:17" ht="22.75" customHeight="1" x14ac:dyDescent="0.4">
      <c r="A87" s="92"/>
      <c r="B87" s="155" t="s">
        <v>28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abSelected="1" topLeftCell="A58" zoomScale="50" zoomScaleNormal="50" workbookViewId="0">
      <selection activeCell="E64" sqref="E64"/>
    </sheetView>
  </sheetViews>
  <sheetFormatPr defaultColWidth="6.69140625" defaultRowHeight="20" x14ac:dyDescent="0.4"/>
  <cols>
    <col min="1" max="1" width="5.53515625" style="76" customWidth="1"/>
    <col min="2" max="2" width="19" style="76" customWidth="1"/>
    <col min="3" max="3" width="36.69140625" style="76" customWidth="1"/>
    <col min="4" max="4" width="7.4609375" style="77" customWidth="1"/>
    <col min="5" max="5" width="36.3828125" style="76" customWidth="1"/>
    <col min="6" max="6" width="7.4609375" style="77" customWidth="1"/>
    <col min="7" max="7" width="35.921875" style="76" customWidth="1"/>
    <col min="8" max="8" width="7.4609375" style="77" customWidth="1"/>
    <col min="9" max="9" width="43.3046875" style="76" customWidth="1"/>
    <col min="10" max="10" width="7.4609375" style="77" customWidth="1"/>
    <col min="11" max="11" width="35" style="76" customWidth="1"/>
    <col min="12" max="12" width="7.4609375" style="77" customWidth="1"/>
    <col min="13" max="13" width="33.1523437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165"/>
      <c r="C4" s="165"/>
      <c r="R4" s="78"/>
      <c r="S4" s="78"/>
      <c r="BB4" s="79"/>
      <c r="BC4" s="79"/>
      <c r="BD4" s="79"/>
      <c r="BK4" s="152"/>
      <c r="BL4" s="152"/>
      <c r="BM4" s="152"/>
      <c r="BN4" s="152"/>
      <c r="CH4" s="80"/>
    </row>
    <row r="5" spans="1:88" ht="30" customHeight="1" x14ac:dyDescent="0.4">
      <c r="B5" s="165"/>
      <c r="C5" s="165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152"/>
      <c r="BL5" s="152"/>
      <c r="BM5" s="152"/>
      <c r="BN5" s="152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141" t="s">
        <v>25</v>
      </c>
      <c r="H6" s="141"/>
      <c r="I6" s="59" t="str">
        <f>UPPER(TEXT(DATE(CalendarYear,1,1)," yyyy"))</f>
        <v xml:space="preserve"> 2021</v>
      </c>
      <c r="J6" s="83"/>
      <c r="K6" s="59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153"/>
      <c r="CC6" s="153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91" t="s">
        <v>29</v>
      </c>
      <c r="E8" s="55" t="str">
        <f>IF(DAY(DecSun1)=1,"",IF(AND(YEAR(DecSun1+2)=CalendarYear,MONTH(DecSun1+2)=12),DecSun1+2,""))</f>
        <v/>
      </c>
      <c r="F8" s="91" t="s">
        <v>29</v>
      </c>
      <c r="G8" s="56">
        <f>IF(DAY(DecSun1)=1,"",IF(AND(YEAR(DecSun1+3)=CalendarYear,MONTH(DecSun1+3)=12),DecSun1+3,""))</f>
        <v>44531</v>
      </c>
      <c r="H8" s="91" t="s">
        <v>29</v>
      </c>
      <c r="I8" s="56">
        <f>IF(DAY(DecSun1)=1,"",IF(AND(YEAR(DecSun1+4)=CalendarYear,MONTH(DecSun1+4)=12),DecSun1+4,""))</f>
        <v>44532</v>
      </c>
      <c r="J8" s="91" t="s">
        <v>29</v>
      </c>
      <c r="K8" s="56">
        <f>IF(DAY(DecSun1)=1,"",IF(AND(YEAR(DecSun1+5)=CalendarYear,MONTH(DecSun1+5)=12),DecSun1+5,""))</f>
        <v>44533</v>
      </c>
      <c r="L8" s="91" t="s">
        <v>29</v>
      </c>
      <c r="M8" s="56">
        <f>IF(DAY(DecSun1)=1,"",IF(AND(YEAR(DecSun1+6)=CalendarYear,MONTH(DecSun1+6)=12),DecSun1+6,""))</f>
        <v>44534</v>
      </c>
      <c r="N8" s="91" t="s">
        <v>29</v>
      </c>
      <c r="O8" s="56">
        <f>IF(DAY(DecSun1)=1,IF(AND(YEAR(DecSun1)=CalendarYear,MONTH(DecSun1)=12),DecSun1,""),IF(AND(YEAR(DecSun1+7)=CalendarYear,MONTH(DecSun1+7)=12),DecSun1+7,""))</f>
        <v>44535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/>
      <c r="D9" s="95"/>
      <c r="E9" s="94"/>
      <c r="F9" s="95"/>
      <c r="G9" s="96" t="s">
        <v>124</v>
      </c>
      <c r="H9" s="95"/>
      <c r="I9" s="96" t="s">
        <v>45</v>
      </c>
      <c r="J9" s="95"/>
      <c r="K9" s="96" t="s">
        <v>44</v>
      </c>
      <c r="L9" s="95"/>
      <c r="M9" s="96" t="s">
        <v>42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98"/>
      <c r="D11" s="99"/>
      <c r="E11" s="98"/>
      <c r="F11" s="99"/>
      <c r="G11" s="100" t="s">
        <v>179</v>
      </c>
      <c r="H11" s="99"/>
      <c r="I11" s="100" t="s">
        <v>209</v>
      </c>
      <c r="J11" s="99"/>
      <c r="K11" s="100" t="s">
        <v>210</v>
      </c>
      <c r="L11" s="99"/>
      <c r="M11" s="100" t="s">
        <v>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/>
      <c r="D13" s="99"/>
      <c r="E13" s="98"/>
      <c r="F13" s="99"/>
      <c r="G13" s="100" t="s">
        <v>145</v>
      </c>
      <c r="H13" s="99"/>
      <c r="I13" s="100" t="s">
        <v>180</v>
      </c>
      <c r="J13" s="99"/>
      <c r="K13" s="100" t="s">
        <v>97</v>
      </c>
      <c r="L13" s="99"/>
      <c r="M13" s="100" t="s">
        <v>152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/>
      <c r="D15" s="99"/>
      <c r="E15" s="98"/>
      <c r="F15" s="99"/>
      <c r="G15" s="100" t="s">
        <v>38</v>
      </c>
      <c r="H15" s="99"/>
      <c r="I15" s="100" t="s">
        <v>181</v>
      </c>
      <c r="J15" s="99"/>
      <c r="K15" s="100" t="s">
        <v>38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/>
      <c r="D17" s="99"/>
      <c r="E17" s="98"/>
      <c r="F17" s="99"/>
      <c r="G17" s="100" t="s">
        <v>84</v>
      </c>
      <c r="H17" s="99"/>
      <c r="I17" s="100" t="s">
        <v>121</v>
      </c>
      <c r="J17" s="99"/>
      <c r="K17" s="100" t="s">
        <v>183</v>
      </c>
      <c r="L17" s="99"/>
      <c r="M17" s="100" t="s">
        <v>40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IF(DAY(DecSun1)=1,IF(AND(YEAR(DecSun1+1)=CalendarYear,MONTH(DecSun1+1)=12),DecSun1+1,""),IF(AND(YEAR(DecSun1+8)=CalendarYear,MONTH(DecSun1+8)=12),DecSun1+8,""))</f>
        <v>44536</v>
      </c>
      <c r="D21" s="91" t="s">
        <v>29</v>
      </c>
      <c r="E21" s="55">
        <f>IF(DAY(DecSun1)=1,IF(AND(YEAR(DecSun1+2)=CalendarYear,MONTH(DecSun1+2)=12),DecSun1+2,""),IF(AND(YEAR(DecSun1+9)=CalendarYear,MONTH(DecSun1+9)=12),DecSun1+9,""))</f>
        <v>44537</v>
      </c>
      <c r="F21" s="91" t="s">
        <v>29</v>
      </c>
      <c r="G21" s="56">
        <f>IF(DAY(DecSun1)=1,IF(AND(YEAR(DecSun1+3)=CalendarYear,MONTH(DecSun1+3)=12),DecSun1+3,""),IF(AND(YEAR(DecSun1+10)=CalendarYear,MONTH(DecSun1+10)=12),DecSun1+10,""))</f>
        <v>44538</v>
      </c>
      <c r="H21" s="91" t="s">
        <v>29</v>
      </c>
      <c r="I21" s="56">
        <f>IF(DAY(DecSun1)=1,IF(AND(YEAR(DecSun1+4)=CalendarYear,MONTH(DecSun1+4)=12),DecSun1+4,""),IF(AND(YEAR(DecSun1+11)=CalendarYear,MONTH(DecSun1+11)=12),DecSun1+11,""))</f>
        <v>44539</v>
      </c>
      <c r="J21" s="91" t="s">
        <v>29</v>
      </c>
      <c r="K21" s="56">
        <f>IF(DAY(DecSun1)=1,IF(AND(YEAR(DecSun1+5)=CalendarYear,MONTH(DecSun1+5)=12),DecSun1+5,""),IF(AND(YEAR(DecSun1+12)=CalendarYear,MONTH(DecSun1+12)=12),DecSun1+12,""))</f>
        <v>44540</v>
      </c>
      <c r="L21" s="91" t="s">
        <v>29</v>
      </c>
      <c r="M21" s="56">
        <f>IF(DAY(DecSun1)=1,IF(AND(YEAR(DecSun1+6)=CalendarYear,MONTH(DecSun1+6)=12),DecSun1+6,""),IF(AND(YEAR(DecSun1+13)=CalendarYear,MONTH(DecSun1+13)=12),DecSun1+13,""))</f>
        <v>44541</v>
      </c>
      <c r="N21" s="91" t="s">
        <v>29</v>
      </c>
      <c r="O21" s="56">
        <f>IF(DAY(DecSun1)=1,IF(AND(YEAR(DecSun1+7)=CalendarYear,MONTH(DecSun1+7)=12),DecSun1+7,""),IF(AND(YEAR(DecSun1+14)=CalendarYear,MONTH(DecSun1+14)=12),DecSun1+14,""))</f>
        <v>44542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31</v>
      </c>
      <c r="D22" s="106"/>
      <c r="E22" s="105" t="s">
        <v>105</v>
      </c>
      <c r="F22" s="106"/>
      <c r="G22" s="107" t="s">
        <v>43</v>
      </c>
      <c r="H22" s="106"/>
      <c r="I22" s="107" t="s">
        <v>45</v>
      </c>
      <c r="J22" s="106"/>
      <c r="K22" s="107" t="s">
        <v>42</v>
      </c>
      <c r="L22" s="106"/>
      <c r="M22" s="107" t="s">
        <v>44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182</v>
      </c>
      <c r="D24" s="109"/>
      <c r="E24" s="108" t="s">
        <v>106</v>
      </c>
      <c r="F24" s="109"/>
      <c r="G24" s="110" t="s">
        <v>109</v>
      </c>
      <c r="H24" s="109"/>
      <c r="I24" s="110" t="s">
        <v>142</v>
      </c>
      <c r="J24" s="109"/>
      <c r="K24" s="110" t="s">
        <v>186</v>
      </c>
      <c r="L24" s="109"/>
      <c r="M24" s="110" t="s">
        <v>110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184</v>
      </c>
      <c r="D26" s="109"/>
      <c r="E26" s="108" t="s">
        <v>53</v>
      </c>
      <c r="F26" s="109"/>
      <c r="G26" s="110" t="s">
        <v>160</v>
      </c>
      <c r="H26" s="109"/>
      <c r="I26" s="110" t="s">
        <v>97</v>
      </c>
      <c r="J26" s="109"/>
      <c r="K26" s="110" t="s">
        <v>53</v>
      </c>
      <c r="L26" s="109"/>
      <c r="M26" s="110" t="s">
        <v>166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38</v>
      </c>
      <c r="D28" s="109"/>
      <c r="E28" s="108" t="s">
        <v>57</v>
      </c>
      <c r="F28" s="109"/>
      <c r="G28" s="110" t="s">
        <v>185</v>
      </c>
      <c r="H28" s="109"/>
      <c r="I28" s="110" t="s">
        <v>148</v>
      </c>
      <c r="J28" s="109"/>
      <c r="K28" s="110" t="s">
        <v>38</v>
      </c>
      <c r="L28" s="109"/>
      <c r="M28" s="110" t="s">
        <v>85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140</v>
      </c>
      <c r="D30" s="109"/>
      <c r="E30" s="108" t="s">
        <v>122</v>
      </c>
      <c r="F30" s="109"/>
      <c r="G30" s="110" t="s">
        <v>121</v>
      </c>
      <c r="H30" s="109"/>
      <c r="I30" s="110" t="s">
        <v>129</v>
      </c>
      <c r="J30" s="109"/>
      <c r="K30" s="110" t="s">
        <v>63</v>
      </c>
      <c r="L30" s="109"/>
      <c r="M30" s="110" t="s">
        <v>188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IF(DAY(DecSun1)=1,IF(AND(YEAR(DecSun1+8)=CalendarYear,MONTH(DecSun1+8)=12),DecSun1+8,""),IF(AND(YEAR(DecSun1+15)=CalendarYear,MONTH(DecSun1+15)=12),DecSun1+15,""))</f>
        <v>44543</v>
      </c>
      <c r="D34" s="91" t="s">
        <v>29</v>
      </c>
      <c r="E34" s="55">
        <f>IF(DAY(DecSun1)=1,IF(AND(YEAR(DecSun1+9)=CalendarYear,MONTH(DecSun1+9)=12),DecSun1+9,""),IF(AND(YEAR(DecSun1+16)=CalendarYear,MONTH(DecSun1+16)=12),DecSun1+16,""))</f>
        <v>44544</v>
      </c>
      <c r="F34" s="91" t="s">
        <v>29</v>
      </c>
      <c r="G34" s="56">
        <f>IF(DAY(DecSun1)=1,IF(AND(YEAR(DecSun1+10)=CalendarYear,MONTH(DecSun1+10)=12),DecSun1+10,""),IF(AND(YEAR(DecSun1+17)=CalendarYear,MONTH(DecSun1+17)=12),DecSun1+17,""))</f>
        <v>44545</v>
      </c>
      <c r="H34" s="91" t="s">
        <v>29</v>
      </c>
      <c r="I34" s="56">
        <f>IF(DAY(DecSun1)=1,IF(AND(YEAR(DecSun1+11)=CalendarYear,MONTH(DecSun1+11)=12),DecSun1+11,""),IF(AND(YEAR(DecSun1+18)=CalendarYear,MONTH(DecSun1+18)=12),DecSun1+18,""))</f>
        <v>44546</v>
      </c>
      <c r="J34" s="91" t="s">
        <v>29</v>
      </c>
      <c r="K34" s="56">
        <f>IF(DAY(DecSun1)=1,IF(AND(YEAR(DecSun1+12)=CalendarYear,MONTH(DecSun1+12)=12),DecSun1+12,""),IF(AND(YEAR(DecSun1+19)=CalendarYear,MONTH(DecSun1+19)=12),DecSun1+19,""))</f>
        <v>44547</v>
      </c>
      <c r="L34" s="91" t="s">
        <v>29</v>
      </c>
      <c r="M34" s="56">
        <f>IF(DAY(DecSun1)=1,IF(AND(YEAR(DecSun1+13)=CalendarYear,MONTH(DecSun1+13)=12),DecSun1+13,""),IF(AND(YEAR(DecSun1+20)=CalendarYear,MONTH(DecSun1+20)=12),DecSun1+20,""))</f>
        <v>44548</v>
      </c>
      <c r="N34" s="91" t="s">
        <v>29</v>
      </c>
      <c r="O34" s="56">
        <f>IF(DAY(DecSun1)=1,IF(AND(YEAR(DecSun1+14)=CalendarYear,MONTH(DecSun1+14)=12),DecSun1+14,""),IF(AND(YEAR(DecSun1+21)=CalendarYear,MONTH(DecSun1+21)=12),DecSun1+21,""))</f>
        <v>44549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190</v>
      </c>
      <c r="D35" s="95"/>
      <c r="E35" s="94" t="s">
        <v>45</v>
      </c>
      <c r="F35" s="95"/>
      <c r="G35" s="96" t="s">
        <v>191</v>
      </c>
      <c r="H35" s="95"/>
      <c r="I35" s="96" t="s">
        <v>105</v>
      </c>
      <c r="J35" s="95"/>
      <c r="K35" s="96" t="s">
        <v>42</v>
      </c>
      <c r="L35" s="95"/>
      <c r="M35" s="96" t="s">
        <v>31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111</v>
      </c>
      <c r="D37" s="99"/>
      <c r="E37" s="98" t="s">
        <v>212</v>
      </c>
      <c r="F37" s="99"/>
      <c r="G37" s="100" t="s">
        <v>192</v>
      </c>
      <c r="H37" s="99"/>
      <c r="I37" s="100" t="s">
        <v>175</v>
      </c>
      <c r="J37" s="99"/>
      <c r="K37" s="100" t="s">
        <v>34</v>
      </c>
      <c r="L37" s="99"/>
      <c r="M37" s="100" t="s">
        <v>78</v>
      </c>
      <c r="N37" s="99"/>
      <c r="O37" s="100" t="s">
        <v>32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75</v>
      </c>
      <c r="D39" s="99"/>
      <c r="E39" s="98" t="s">
        <v>193</v>
      </c>
      <c r="F39" s="99"/>
      <c r="G39" s="100" t="s">
        <v>53</v>
      </c>
      <c r="H39" s="99"/>
      <c r="I39" s="100" t="s">
        <v>35</v>
      </c>
      <c r="J39" s="99"/>
      <c r="K39" s="100" t="s">
        <v>98</v>
      </c>
      <c r="L39" s="99"/>
      <c r="M39" s="100" t="s">
        <v>187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38</v>
      </c>
      <c r="D41" s="99"/>
      <c r="E41" s="98" t="s">
        <v>194</v>
      </c>
      <c r="F41" s="99"/>
      <c r="G41" s="100" t="s">
        <v>38</v>
      </c>
      <c r="H41" s="99"/>
      <c r="I41" s="100" t="s">
        <v>57</v>
      </c>
      <c r="J41" s="99"/>
      <c r="K41" s="100" t="s">
        <v>38</v>
      </c>
      <c r="L41" s="99"/>
      <c r="M41" s="100" t="s">
        <v>85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40</v>
      </c>
      <c r="D43" s="99"/>
      <c r="E43" s="98" t="s">
        <v>66</v>
      </c>
      <c r="F43" s="99"/>
      <c r="G43" s="100" t="s">
        <v>129</v>
      </c>
      <c r="H43" s="99"/>
      <c r="I43" s="100" t="s">
        <v>121</v>
      </c>
      <c r="J43" s="99"/>
      <c r="K43" s="100" t="s">
        <v>140</v>
      </c>
      <c r="L43" s="99"/>
      <c r="M43" s="100" t="s">
        <v>40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IF(DAY(DecSun1)=1,IF(AND(YEAR(DecSun1+15)=CalendarYear,MONTH(DecSun1+15)=12),DecSun1+15,""),IF(AND(YEAR(DecSun1+22)=CalendarYear,MONTH(DecSun1+22)=12),DecSun1+22,""))</f>
        <v>44550</v>
      </c>
      <c r="D47" s="91" t="s">
        <v>29</v>
      </c>
      <c r="E47" s="55">
        <f>IF(DAY(DecSun1)=1,IF(AND(YEAR(DecSun1+16)=CalendarYear,MONTH(DecSun1+16)=12),DecSun1+16,""),IF(AND(YEAR(DecSun1+23)=CalendarYear,MONTH(DecSun1+23)=12),DecSun1+23,""))</f>
        <v>44551</v>
      </c>
      <c r="F47" s="91" t="s">
        <v>29</v>
      </c>
      <c r="G47" s="56">
        <f>IF(DAY(DecSun1)=1,IF(AND(YEAR(DecSun1+17)=CalendarYear,MONTH(DecSun1+17)=12),DecSun1+17,""),IF(AND(YEAR(DecSun1+24)=CalendarYear,MONTH(DecSun1+24)=12),DecSun1+24,""))</f>
        <v>44552</v>
      </c>
      <c r="H47" s="91" t="s">
        <v>29</v>
      </c>
      <c r="I47" s="56">
        <f>IF(DAY(DecSun1)=1,IF(AND(YEAR(DecSun1+18)=CalendarYear,MONTH(DecSun1+18)=12),DecSun1+18,""),IF(AND(YEAR(DecSun1+25)=CalendarYear,MONTH(DecSun1+25)=12),DecSun1+25,""))</f>
        <v>44553</v>
      </c>
      <c r="J47" s="91" t="s">
        <v>29</v>
      </c>
      <c r="K47" s="56">
        <f>IF(DAY(DecSun1)=1,IF(AND(YEAR(DecSun1+19)=CalendarYear,MONTH(DecSun1+19)=12),DecSun1+19,""),IF(AND(YEAR(DecSun1+26)=CalendarYear,MONTH(DecSun1+26)=12),DecSun1+26,""))</f>
        <v>44554</v>
      </c>
      <c r="L47" s="91" t="s">
        <v>29</v>
      </c>
      <c r="M47" s="56">
        <f>IF(DAY(DecSun1)=1,IF(AND(YEAR(DecSun1+20)=CalendarYear,MONTH(DecSun1+20)=12),DecSun1+20,""),IF(AND(YEAR(DecSun1+27)=CalendarYear,MONTH(DecSun1+27)=12),DecSun1+27,""))</f>
        <v>44555</v>
      </c>
      <c r="N47" s="91" t="s">
        <v>29</v>
      </c>
      <c r="O47" s="56">
        <f>IF(DAY(DecSun1)=1,IF(AND(YEAR(DecSun1+21)=CalendarYear,MONTH(DecSun1+21)=12),DecSun1+21,""),IF(AND(YEAR(DecSun1+28)=CalendarYear,MONTH(DecSun1+28)=12),DecSun1+28,""))</f>
        <v>44556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195</v>
      </c>
      <c r="D48" s="106"/>
      <c r="E48" s="105" t="s">
        <v>42</v>
      </c>
      <c r="F48" s="106"/>
      <c r="G48" s="107" t="s">
        <v>105</v>
      </c>
      <c r="H48" s="106"/>
      <c r="I48" s="107" t="s">
        <v>161</v>
      </c>
      <c r="J48" s="106"/>
      <c r="K48" s="107" t="s">
        <v>89</v>
      </c>
      <c r="L48" s="106"/>
      <c r="M48" s="107" t="s">
        <v>43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196</v>
      </c>
      <c r="D50" s="109"/>
      <c r="E50" s="108" t="s">
        <v>167</v>
      </c>
      <c r="F50" s="109"/>
      <c r="G50" s="110" t="s">
        <v>208</v>
      </c>
      <c r="H50" s="109"/>
      <c r="I50" s="110" t="s">
        <v>211</v>
      </c>
      <c r="J50" s="109"/>
      <c r="K50" s="110" t="s">
        <v>162</v>
      </c>
      <c r="L50" s="109"/>
      <c r="M50" s="110" t="s">
        <v>34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197</v>
      </c>
      <c r="D52" s="109"/>
      <c r="E52" s="108" t="s">
        <v>98</v>
      </c>
      <c r="F52" s="109"/>
      <c r="G52" s="110" t="s">
        <v>53</v>
      </c>
      <c r="H52" s="109"/>
      <c r="I52" s="110" t="s">
        <v>160</v>
      </c>
      <c r="J52" s="109"/>
      <c r="K52" s="110" t="s">
        <v>53</v>
      </c>
      <c r="L52" s="109"/>
      <c r="M52" s="110" t="s">
        <v>77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40</v>
      </c>
      <c r="D54" s="109"/>
      <c r="E54" s="108" t="s">
        <v>38</v>
      </c>
      <c r="F54" s="109"/>
      <c r="G54" s="110" t="s">
        <v>57</v>
      </c>
      <c r="H54" s="109"/>
      <c r="I54" s="110" t="s">
        <v>189</v>
      </c>
      <c r="J54" s="109"/>
      <c r="K54" s="110" t="s">
        <v>38</v>
      </c>
      <c r="L54" s="109"/>
      <c r="M54" s="110" t="s">
        <v>38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62</v>
      </c>
      <c r="D56" s="109"/>
      <c r="E56" s="108" t="s">
        <v>40</v>
      </c>
      <c r="F56" s="109"/>
      <c r="G56" s="110" t="s">
        <v>84</v>
      </c>
      <c r="H56" s="109"/>
      <c r="I56" s="110" t="s">
        <v>129</v>
      </c>
      <c r="J56" s="109"/>
      <c r="K56" s="110" t="s">
        <v>66</v>
      </c>
      <c r="L56" s="109"/>
      <c r="M56" s="110" t="s">
        <v>40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IF(DAY(DecSun1)=1,IF(AND(YEAR(DecSun1+22)=CalendarYear,MONTH(DecSun1+22)=12),DecSun1+22,""),IF(AND(YEAR(DecSun1+29)=CalendarYear,MONTH(DecSun1+29)=12),DecSun1+29,""))</f>
        <v>44557</v>
      </c>
      <c r="D60" s="91" t="s">
        <v>29</v>
      </c>
      <c r="E60" s="55">
        <f>IF(DAY(DecSun1)=1,IF(AND(YEAR(DecSun1+23)=CalendarYear,MONTH(DecSun1+23)=12),DecSun1+23,""),IF(AND(YEAR(DecSun1+30)=CalendarYear,MONTH(DecSun1+30)=12),DecSun1+30,""))</f>
        <v>44558</v>
      </c>
      <c r="F60" s="91" t="s">
        <v>29</v>
      </c>
      <c r="G60" s="56">
        <f>IF(DAY(DecSun1)=1,IF(AND(YEAR(DecSun1+24)=CalendarYear,MONTH(DecSun1+24)=12),DecSun1+24,""),IF(AND(YEAR(DecSun1+31)=CalendarYear,MONTH(DecSun1+31)=12),DecSun1+31,""))</f>
        <v>44559</v>
      </c>
      <c r="H60" s="91" t="s">
        <v>29</v>
      </c>
      <c r="I60" s="56">
        <f>IF(DAY(DecSun1)=1,IF(AND(YEAR(DecSun1+25)=CalendarYear,MONTH(DecSun1+25)=12),DecSun1+25,""),IF(AND(YEAR(DecSun1+32)=CalendarYear,MONTH(DecSun1+32)=12),DecSun1+32,""))</f>
        <v>44560</v>
      </c>
      <c r="J60" s="91" t="s">
        <v>29</v>
      </c>
      <c r="K60" s="56">
        <f>IF(DAY(DecSun1)=1,IF(AND(YEAR(DecSun1+26)=CalendarYear,MONTH(DecSun1+26)=12),DecSun1+26,""),IF(AND(YEAR(DecSun1+33)=CalendarYear,MONTH(DecSun1+33)=12),DecSun1+33,""))</f>
        <v>44561</v>
      </c>
      <c r="L60" s="91" t="s">
        <v>29</v>
      </c>
      <c r="M60" s="56" t="str">
        <f>IF(DAY(DecSun1)=1,IF(AND(YEAR(DecSun1+27)=CalendarYear,MONTH(DecSun1+27)=12),DecSun1+27,""),IF(AND(YEAR(DecSun1+34)=CalendarYear,MONTH(DecSun1+34)=12),DecSun1+34,""))</f>
        <v/>
      </c>
      <c r="N60" s="9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31</v>
      </c>
      <c r="D61" s="95"/>
      <c r="E61" s="96" t="s">
        <v>42</v>
      </c>
      <c r="F61" s="95"/>
      <c r="G61" s="96" t="s">
        <v>195</v>
      </c>
      <c r="H61" s="95"/>
      <c r="I61" s="96" t="s">
        <v>45</v>
      </c>
      <c r="J61" s="95"/>
      <c r="K61" s="96" t="s">
        <v>44</v>
      </c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100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146</v>
      </c>
      <c r="D63" s="99"/>
      <c r="E63" s="100" t="s">
        <v>200</v>
      </c>
      <c r="F63" s="99"/>
      <c r="G63" s="100" t="s">
        <v>199</v>
      </c>
      <c r="H63" s="99"/>
      <c r="I63" s="100" t="s">
        <v>210</v>
      </c>
      <c r="J63" s="99"/>
      <c r="K63" s="100" t="s">
        <v>206</v>
      </c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100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198</v>
      </c>
      <c r="D65" s="99"/>
      <c r="E65" s="100" t="s">
        <v>201</v>
      </c>
      <c r="F65" s="99"/>
      <c r="G65" s="100" t="s">
        <v>96</v>
      </c>
      <c r="H65" s="99"/>
      <c r="I65" s="100" t="s">
        <v>97</v>
      </c>
      <c r="J65" s="99"/>
      <c r="K65" s="100" t="s">
        <v>207</v>
      </c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100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38</v>
      </c>
      <c r="D67" s="99"/>
      <c r="E67" s="100" t="s">
        <v>38</v>
      </c>
      <c r="F67" s="99"/>
      <c r="G67" s="100" t="s">
        <v>99</v>
      </c>
      <c r="H67" s="99"/>
      <c r="I67" s="100" t="s">
        <v>39</v>
      </c>
      <c r="J67" s="99"/>
      <c r="K67" s="100" t="s">
        <v>203</v>
      </c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100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66</v>
      </c>
      <c r="D69" s="99"/>
      <c r="E69" s="100" t="s">
        <v>202</v>
      </c>
      <c r="F69" s="99"/>
      <c r="G69" s="100" t="s">
        <v>122</v>
      </c>
      <c r="H69" s="99"/>
      <c r="I69" s="100" t="s">
        <v>40</v>
      </c>
      <c r="J69" s="99"/>
      <c r="K69" s="100" t="s">
        <v>204</v>
      </c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9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167" t="s">
        <v>205</v>
      </c>
      <c r="H74" s="157"/>
      <c r="I74" s="157"/>
      <c r="J74" s="157"/>
      <c r="K74" s="157"/>
      <c r="L74" s="157"/>
      <c r="M74" s="157"/>
      <c r="N74" s="157"/>
      <c r="O74" s="157"/>
      <c r="P74" s="158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159"/>
      <c r="H75" s="160"/>
      <c r="I75" s="160"/>
      <c r="J75" s="160"/>
      <c r="K75" s="160"/>
      <c r="L75" s="160"/>
      <c r="M75" s="160"/>
      <c r="N75" s="160"/>
      <c r="O75" s="160"/>
      <c r="P75" s="161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159"/>
      <c r="H76" s="160"/>
      <c r="I76" s="160"/>
      <c r="J76" s="160"/>
      <c r="K76" s="160"/>
      <c r="L76" s="160"/>
      <c r="M76" s="160"/>
      <c r="N76" s="160"/>
      <c r="O76" s="160"/>
      <c r="P76" s="161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159"/>
      <c r="H77" s="160"/>
      <c r="I77" s="160"/>
      <c r="J77" s="160"/>
      <c r="K77" s="160"/>
      <c r="L77" s="160"/>
      <c r="M77" s="160"/>
      <c r="N77" s="160"/>
      <c r="O77" s="160"/>
      <c r="P77" s="161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159"/>
      <c r="H78" s="160"/>
      <c r="I78" s="160"/>
      <c r="J78" s="160"/>
      <c r="K78" s="160"/>
      <c r="L78" s="160"/>
      <c r="M78" s="160"/>
      <c r="N78" s="160"/>
      <c r="O78" s="160"/>
      <c r="P78" s="161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159"/>
      <c r="H79" s="160"/>
      <c r="I79" s="160"/>
      <c r="J79" s="160"/>
      <c r="K79" s="160"/>
      <c r="L79" s="160"/>
      <c r="M79" s="160"/>
      <c r="N79" s="160"/>
      <c r="O79" s="160"/>
      <c r="P79" s="161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159"/>
      <c r="H80" s="160"/>
      <c r="I80" s="160"/>
      <c r="J80" s="160"/>
      <c r="K80" s="160"/>
      <c r="L80" s="160"/>
      <c r="M80" s="160"/>
      <c r="N80" s="160"/>
      <c r="O80" s="160"/>
      <c r="P80" s="161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159"/>
      <c r="H81" s="160"/>
      <c r="I81" s="160"/>
      <c r="J81" s="160"/>
      <c r="K81" s="160"/>
      <c r="L81" s="160"/>
      <c r="M81" s="160"/>
      <c r="N81" s="160"/>
      <c r="O81" s="160"/>
      <c r="P81" s="161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159"/>
      <c r="H82" s="160"/>
      <c r="I82" s="160"/>
      <c r="J82" s="160"/>
      <c r="K82" s="160"/>
      <c r="L82" s="160"/>
      <c r="M82" s="160"/>
      <c r="N82" s="160"/>
      <c r="O82" s="160"/>
      <c r="P82" s="161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159"/>
      <c r="H83" s="160"/>
      <c r="I83" s="160"/>
      <c r="J83" s="160"/>
      <c r="K83" s="160"/>
      <c r="L83" s="160"/>
      <c r="M83" s="160"/>
      <c r="N83" s="160"/>
      <c r="O83" s="160"/>
      <c r="P83" s="161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159"/>
      <c r="H84" s="160"/>
      <c r="I84" s="160"/>
      <c r="J84" s="160"/>
      <c r="K84" s="160"/>
      <c r="L84" s="160"/>
      <c r="M84" s="160"/>
      <c r="N84" s="160"/>
      <c r="O84" s="160"/>
      <c r="P84" s="161"/>
      <c r="Q84" s="97"/>
    </row>
    <row r="85" spans="1:17" s="92" customFormat="1" ht="17.5" customHeight="1" x14ac:dyDescent="0.5">
      <c r="B85" s="101"/>
      <c r="C85" s="111"/>
      <c r="D85" s="112"/>
      <c r="E85" s="111"/>
      <c r="F85" s="112"/>
      <c r="G85" s="162"/>
      <c r="H85" s="163"/>
      <c r="I85" s="163"/>
      <c r="J85" s="163"/>
      <c r="K85" s="163"/>
      <c r="L85" s="163"/>
      <c r="M85" s="163"/>
      <c r="N85" s="163"/>
      <c r="O85" s="163"/>
      <c r="P85" s="164"/>
      <c r="Q85" s="97"/>
    </row>
    <row r="86" spans="1:17" ht="22.75" customHeight="1" x14ac:dyDescent="0.4">
      <c r="B86" s="154" t="s">
        <v>27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</row>
    <row r="87" spans="1:17" ht="22.75" customHeight="1" x14ac:dyDescent="0.4">
      <c r="A87" s="92"/>
      <c r="B87" s="155" t="s">
        <v>28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302"/>
  <sheetViews>
    <sheetView showGridLines="0" zoomScale="50" zoomScaleNormal="50" workbookViewId="0">
      <selection activeCell="R4" sqref="R4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15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IF(DAY(FebSun1)=1,"",IF(AND(YEAR(FebSun1+1)=CalendarYear,MONTH(FebSun1+1)=2),FebSun1+1,""))</f>
        <v>44228</v>
      </c>
      <c r="D8" s="61" t="s">
        <v>29</v>
      </c>
      <c r="E8" s="55">
        <f>IF(DAY(FebSun1)=1,"",IF(AND(YEAR(FebSun1+2)=CalendarYear,MONTH(FebSun1+2)=2),FebSun1+2,""))</f>
        <v>44229</v>
      </c>
      <c r="F8" s="61" t="s">
        <v>29</v>
      </c>
      <c r="G8" s="56">
        <f>IF(DAY(FebSun1)=1,"",IF(AND(YEAR(FebSun1+3)=CalendarYear,MONTH(FebSun1+3)=2),FebSun1+3,""))</f>
        <v>44230</v>
      </c>
      <c r="H8" s="61" t="s">
        <v>29</v>
      </c>
      <c r="I8" s="56">
        <f>IF(DAY(FebSun1)=1,"",IF(AND(YEAR(FebSun1+4)=CalendarYear,MONTH(FebSun1+4)=2),FebSun1+4,""))</f>
        <v>44231</v>
      </c>
      <c r="J8" s="61" t="s">
        <v>29</v>
      </c>
      <c r="K8" s="56">
        <f>IF(DAY(FebSun1)=1,"",IF(AND(YEAR(FebSun1+5)=CalendarYear,MONTH(FebSun1+5)=2),FebSun1+5,""))</f>
        <v>44232</v>
      </c>
      <c r="L8" s="61" t="s">
        <v>29</v>
      </c>
      <c r="M8" s="56">
        <f>IF(DAY(FebSun1)=1,"",IF(AND(YEAR(FebSun1+6)=CalendarYear,MONTH(FebSun1+6)=2),FebSun1+6,""))</f>
        <v>44233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44234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29"/>
      <c r="E20" s="31" t="s">
        <v>5</v>
      </c>
      <c r="F20" s="29"/>
      <c r="G20" s="31" t="s">
        <v>5</v>
      </c>
      <c r="H20" s="29"/>
      <c r="I20" s="31" t="s">
        <v>5</v>
      </c>
      <c r="J20" s="29"/>
      <c r="K20" s="31" t="s">
        <v>5</v>
      </c>
      <c r="L20" s="29"/>
      <c r="M20" s="31" t="s">
        <v>5</v>
      </c>
      <c r="N20" s="29"/>
      <c r="O20" s="31" t="s">
        <v>5</v>
      </c>
      <c r="P20" s="29"/>
      <c r="Q20" s="22"/>
    </row>
    <row r="21" spans="2:21" s="51" customFormat="1" ht="18" customHeight="1" x14ac:dyDescent="0.3">
      <c r="B21" s="52"/>
      <c r="C21" s="55">
        <f>IF(DAY(FebSun1)=1,IF(AND(YEAR(FebSun1+1)=CalendarYear,MONTH(FebSun1+1)=2),FebSun1+1,""),IF(AND(YEAR(FebSun1+8)=CalendarYear,MONTH(FebSun1+8)=2),FebSun1+8,""))</f>
        <v>44235</v>
      </c>
      <c r="D21" s="61" t="s">
        <v>29</v>
      </c>
      <c r="E21" s="55">
        <f>IF(DAY(FebSun1)=1,IF(AND(YEAR(FebSun1+2)=CalendarYear,MONTH(FebSun1+2)=2),FebSun1+2,""),IF(AND(YEAR(FebSun1+9)=CalendarYear,MONTH(FebSun1+9)=2),FebSun1+9,""))</f>
        <v>44236</v>
      </c>
      <c r="F21" s="61" t="s">
        <v>29</v>
      </c>
      <c r="G21" s="56">
        <f>IF(DAY(FebSun1)=1,IF(AND(YEAR(FebSun1+3)=CalendarYear,MONTH(FebSun1+3)=2),FebSun1+3,""),IF(AND(YEAR(FebSun1+10)=CalendarYear,MONTH(FebSun1+10)=2),FebSun1+10,""))</f>
        <v>44237</v>
      </c>
      <c r="H21" s="61" t="s">
        <v>29</v>
      </c>
      <c r="I21" s="56">
        <f>IF(DAY(FebSun1)=1,IF(AND(YEAR(FebSun1+4)=CalendarYear,MONTH(FebSun1+4)=2),FebSun1+4,""),IF(AND(YEAR(FebSun1+11)=CalendarYear,MONTH(FebSun1+11)=2),FebSun1+11,""))</f>
        <v>44238</v>
      </c>
      <c r="J21" s="61" t="s">
        <v>29</v>
      </c>
      <c r="K21" s="56">
        <f>IF(DAY(FebSun1)=1,IF(AND(YEAR(FebSun1+5)=CalendarYear,MONTH(FebSun1+5)=2),FebSun1+5,""),IF(AND(YEAR(FebSun1+12)=CalendarYear,MONTH(FebSun1+12)=2),FebSun1+12,""))</f>
        <v>44239</v>
      </c>
      <c r="L21" s="61" t="s">
        <v>29</v>
      </c>
      <c r="M21" s="56">
        <f>IF(DAY(FebSun1)=1,IF(AND(YEAR(FebSun1+6)=CalendarYear,MONTH(FebSun1+6)=2),FebSun1+6,""),IF(AND(YEAR(FebSun1+13)=CalendarYear,MONTH(FebSun1+13)=2),FebSun1+13,""))</f>
        <v>44240</v>
      </c>
      <c r="N21" s="61" t="s">
        <v>29</v>
      </c>
      <c r="O21" s="56">
        <f>IF(DAY(FebSun1)=1,IF(AND(YEAR(FebSun1+7)=CalendarYear,MONTH(FebSun1+7)=2),FebSun1+7,""),IF(AND(YEAR(FebSun1+14)=CalendarYear,MONTH(FebSun1+14)=2),FebSun1+14,""))</f>
        <v>44241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45">
      <c r="B29" s="50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38"/>
      <c r="E33" s="40" t="s">
        <v>5</v>
      </c>
      <c r="F33" s="38"/>
      <c r="G33" s="40" t="s">
        <v>5</v>
      </c>
      <c r="H33" s="38"/>
      <c r="I33" s="40" t="s">
        <v>5</v>
      </c>
      <c r="J33" s="38"/>
      <c r="K33" s="40" t="s">
        <v>5</v>
      </c>
      <c r="L33" s="38"/>
      <c r="M33" s="40" t="s">
        <v>5</v>
      </c>
      <c r="N33" s="38"/>
      <c r="O33" s="40" t="s">
        <v>5</v>
      </c>
      <c r="P33" s="38"/>
      <c r="Q33" s="22"/>
    </row>
    <row r="34" spans="2:21" s="51" customFormat="1" ht="18" customHeight="1" x14ac:dyDescent="0.3">
      <c r="B34" s="52"/>
      <c r="C34" s="55">
        <f>IF(DAY(FebSun1)=1,IF(AND(YEAR(FebSun1+8)=CalendarYear,MONTH(FebSun1+8)=2),FebSun1+8,""),IF(AND(YEAR(FebSun1+15)=CalendarYear,MONTH(FebSun1+15)=2),FebSun1+15,""))</f>
        <v>44242</v>
      </c>
      <c r="D34" s="61" t="s">
        <v>29</v>
      </c>
      <c r="E34" s="55">
        <f>IF(DAY(FebSun1)=1,IF(AND(YEAR(FebSun1+9)=CalendarYear,MONTH(FebSun1+9)=2),FebSun1+9,""),IF(AND(YEAR(FebSun1+16)=CalendarYear,MONTH(FebSun1+16)=2),FebSun1+16,""))</f>
        <v>44243</v>
      </c>
      <c r="F34" s="61" t="s">
        <v>29</v>
      </c>
      <c r="G34" s="56">
        <f>IF(DAY(FebSun1)=1,IF(AND(YEAR(FebSun1+10)=CalendarYear,MONTH(FebSun1+10)=2),FebSun1+10,""),IF(AND(YEAR(FebSun1+17)=CalendarYear,MONTH(FebSun1+17)=2),FebSun1+17,""))</f>
        <v>44244</v>
      </c>
      <c r="H34" s="61" t="s">
        <v>29</v>
      </c>
      <c r="I34" s="56">
        <f>IF(DAY(FebSun1)=1,IF(AND(YEAR(FebSun1+11)=CalendarYear,MONTH(FebSun1+11)=2),FebSun1+11,""),IF(AND(YEAR(FebSun1+18)=CalendarYear,MONTH(FebSun1+18)=2),FebSun1+18,""))</f>
        <v>44245</v>
      </c>
      <c r="J34" s="61" t="s">
        <v>29</v>
      </c>
      <c r="K34" s="56">
        <f>IF(DAY(FebSun1)=1,IF(AND(YEAR(FebSun1+12)=CalendarYear,MONTH(FebSun1+12)=2),FebSun1+12,""),IF(AND(YEAR(FebSun1+19)=CalendarYear,MONTH(FebSun1+19)=2),FebSun1+19,""))</f>
        <v>44246</v>
      </c>
      <c r="L34" s="61" t="s">
        <v>29</v>
      </c>
      <c r="M34" s="56">
        <f>IF(DAY(FebSun1)=1,IF(AND(YEAR(FebSun1+13)=CalendarYear,MONTH(FebSun1+13)=2),FebSun1+13,""),IF(AND(YEAR(FebSun1+20)=CalendarYear,MONTH(FebSun1+20)=2),FebSun1+20,""))</f>
        <v>44247</v>
      </c>
      <c r="N34" s="61" t="s">
        <v>29</v>
      </c>
      <c r="O34" s="56">
        <f>IF(DAY(FebSun1)=1,IF(AND(YEAR(FebSun1+14)=CalendarYear,MONTH(FebSun1+14)=2),FebSun1+14,""),IF(AND(YEAR(FebSun1+21)=CalendarYear,MONTH(FebSun1+21)=2),FebSun1+21,""))</f>
        <v>44248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45">
      <c r="B42" s="50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29"/>
      <c r="E46" s="31" t="s">
        <v>5</v>
      </c>
      <c r="F46" s="29"/>
      <c r="G46" s="31" t="s">
        <v>5</v>
      </c>
      <c r="H46" s="29"/>
      <c r="I46" s="31" t="s">
        <v>5</v>
      </c>
      <c r="J46" s="29"/>
      <c r="K46" s="31" t="s">
        <v>5</v>
      </c>
      <c r="L46" s="29"/>
      <c r="M46" s="31" t="s">
        <v>5</v>
      </c>
      <c r="N46" s="29"/>
      <c r="O46" s="31" t="s">
        <v>5</v>
      </c>
      <c r="P46" s="29"/>
      <c r="Q46" s="22"/>
    </row>
    <row r="47" spans="2:21" s="51" customFormat="1" ht="18" customHeight="1" x14ac:dyDescent="0.3">
      <c r="B47" s="52"/>
      <c r="C47" s="55">
        <f>IF(DAY(FebSun1)=1,IF(AND(YEAR(FebSun1+15)=CalendarYear,MONTH(FebSun1+15)=2),FebSun1+15,""),IF(AND(YEAR(FebSun1+22)=CalendarYear,MONTH(FebSun1+22)=2),FebSun1+22,""))</f>
        <v>44249</v>
      </c>
      <c r="D47" s="61" t="s">
        <v>29</v>
      </c>
      <c r="E47" s="55">
        <f>IF(DAY(FebSun1)=1,IF(AND(YEAR(FebSun1+16)=CalendarYear,MONTH(FebSun1+16)=2),FebSun1+16,""),IF(AND(YEAR(FebSun1+23)=CalendarYear,MONTH(FebSun1+23)=2),FebSun1+23,""))</f>
        <v>44250</v>
      </c>
      <c r="F47" s="61" t="s">
        <v>29</v>
      </c>
      <c r="G47" s="56">
        <f>IF(DAY(FebSun1)=1,IF(AND(YEAR(FebSun1+17)=CalendarYear,MONTH(FebSun1+17)=2),FebSun1+17,""),IF(AND(YEAR(FebSun1+24)=CalendarYear,MONTH(FebSun1+24)=2),FebSun1+24,""))</f>
        <v>44251</v>
      </c>
      <c r="H47" s="61" t="s">
        <v>29</v>
      </c>
      <c r="I47" s="56">
        <f>IF(DAY(FebSun1)=1,IF(AND(YEAR(FebSun1+18)=CalendarYear,MONTH(FebSun1+18)=2),FebSun1+18,""),IF(AND(YEAR(FebSun1+25)=CalendarYear,MONTH(FebSun1+25)=2),FebSun1+25,""))</f>
        <v>44252</v>
      </c>
      <c r="J47" s="61" t="s">
        <v>29</v>
      </c>
      <c r="K47" s="56">
        <f>IF(DAY(FebSun1)=1,IF(AND(YEAR(FebSun1+19)=CalendarYear,MONTH(FebSun1+19)=2),FebSun1+19,""),IF(AND(YEAR(FebSun1+26)=CalendarYear,MONTH(FebSun1+26)=2),FebSun1+26,""))</f>
        <v>44253</v>
      </c>
      <c r="L47" s="61" t="s">
        <v>29</v>
      </c>
      <c r="M47" s="56">
        <f>IF(DAY(FebSun1)=1,IF(AND(YEAR(FebSun1+20)=CalendarYear,MONTH(FebSun1+20)=2),FebSun1+20,""),IF(AND(YEAR(FebSun1+27)=CalendarYear,MONTH(FebSun1+27)=2),FebSun1+27,""))</f>
        <v>44254</v>
      </c>
      <c r="N47" s="61" t="s">
        <v>29</v>
      </c>
      <c r="O47" s="56">
        <f>IF(DAY(FebSun1)=1,IF(AND(YEAR(FebSun1+21)=CalendarYear,MONTH(FebSun1+21)=2),FebSun1+21,""),IF(AND(YEAR(FebSun1+28)=CalendarYear,MONTH(FebSun1+28)=2),FebSun1+28,""))</f>
        <v>44255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45">
      <c r="B55" s="50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38"/>
      <c r="E59" s="40" t="s">
        <v>5</v>
      </c>
      <c r="F59" s="38"/>
      <c r="G59" s="40" t="s">
        <v>5</v>
      </c>
      <c r="H59" s="38"/>
      <c r="I59" s="40" t="s">
        <v>5</v>
      </c>
      <c r="J59" s="38"/>
      <c r="K59" s="40" t="s">
        <v>5</v>
      </c>
      <c r="L59" s="38"/>
      <c r="M59" s="40" t="s">
        <v>5</v>
      </c>
      <c r="N59" s="38"/>
      <c r="O59" s="40" t="s">
        <v>5</v>
      </c>
      <c r="P59" s="38"/>
      <c r="Q59" s="22"/>
    </row>
    <row r="60" spans="2:21" s="51" customFormat="1" ht="18" customHeight="1" x14ac:dyDescent="0.3">
      <c r="B60" s="52"/>
      <c r="C60" s="55" t="str">
        <f>IF(DAY(FebSun1)=1,IF(AND(YEAR(FebSun1+22)=CalendarYear,MONTH(FebSun1+22)=2),FebSun1+22,""),IF(AND(YEAR(FebSun1+29)=CalendarYear,MONTH(FebSun1+29)=2),FebSun1+29,""))</f>
        <v/>
      </c>
      <c r="D60" s="61" t="s">
        <v>29</v>
      </c>
      <c r="E60" s="55" t="str">
        <f>IF(DAY(FebSun1)=1,IF(AND(YEAR(FebSun1+23)=CalendarYear,MONTH(FebSun1+23)=2),FebSun1+23,""),IF(AND(YEAR(FebSun1+30)=CalendarYear,MONTH(FebSun1+30)=2),FebSun1+30,""))</f>
        <v/>
      </c>
      <c r="F60" s="61" t="s">
        <v>29</v>
      </c>
      <c r="G60" s="56" t="str">
        <f>IF(DAY(FebSun1)=1,IF(AND(YEAR(FebSun1+24)=CalendarYear,MONTH(FebSun1+24)=2),FebSun1+24,""),IF(AND(YEAR(FebSun1+31)=CalendarYear,MONTH(FebSun1+31)=2),FebSun1+31,""))</f>
        <v/>
      </c>
      <c r="H60" s="61" t="s">
        <v>29</v>
      </c>
      <c r="I60" s="56" t="str">
        <f>IF(DAY(FebSun1)=1,IF(AND(YEAR(FebSun1+25)=CalendarYear,MONTH(FebSun1+25)=2),FebSun1+25,""),IF(AND(YEAR(FebSun1+32)=CalendarYear,MONTH(FebSun1+32)=2),FebSun1+32,""))</f>
        <v/>
      </c>
      <c r="J60" s="61" t="s">
        <v>29</v>
      </c>
      <c r="K60" s="56" t="str">
        <f>IF(DAY(FebSun1)=1,IF(AND(YEAR(FebSun1+26)=CalendarYear,MONTH(FebSun1+26)=2),FebSun1+26,""),IF(AND(YEAR(FebSun1+33)=CalendarYear,MONTH(FebSun1+33)=2),FebSun1+33,""))</f>
        <v/>
      </c>
      <c r="L60" s="61" t="s">
        <v>29</v>
      </c>
      <c r="M60" s="56" t="str">
        <f>IF(DAY(FebSun1)=1,IF(AND(YEAR(FebSun1+27)=CalendarYear,MONTH(FebSun1+27)=2),FebSun1+27,""),IF(AND(YEAR(FebSun1+34)=CalendarYear,MONTH(FebSun1+34)=2),FebSun1+34,""))</f>
        <v/>
      </c>
      <c r="N60" s="61" t="s">
        <v>29</v>
      </c>
      <c r="O60" s="56" t="str">
        <f>IF(DAY(FebSun1)=1,IF(AND(YEAR(FebSun1+28)=CalendarYear,MONTH(FebSun1+28)=2),FebSun1+28,""),IF(AND(YEAR(FebSun1+35)=CalendarYear,MONTH(FebSun1+35)=2),FebSun1+35,""))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45">
      <c r="B68" s="50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29"/>
      <c r="E72" s="31" t="s">
        <v>5</v>
      </c>
      <c r="F72" s="29"/>
      <c r="G72" s="31" t="s">
        <v>5</v>
      </c>
      <c r="H72" s="29"/>
      <c r="I72" s="31" t="s">
        <v>5</v>
      </c>
      <c r="J72" s="29"/>
      <c r="K72" s="31" t="s">
        <v>5</v>
      </c>
      <c r="L72" s="29"/>
      <c r="M72" s="31" t="s">
        <v>5</v>
      </c>
      <c r="N72" s="29"/>
      <c r="O72" s="31" t="s">
        <v>5</v>
      </c>
      <c r="P72" s="29"/>
      <c r="Q72" s="22"/>
    </row>
    <row r="73" spans="1:21" s="21" customFormat="1" ht="18" customHeight="1" x14ac:dyDescent="0.3">
      <c r="A73" s="51"/>
      <c r="B73" s="52"/>
      <c r="C73" s="55" t="str">
        <f>IF(DAY(FebSun1)=1,IF(AND(YEAR(FebSun1+29)=CalendarYear,MONTH(FebSun1+29)=2),FebSun1+29,""),IF(AND(YEAR(FebSun1+36)=CalendarYear,MONTH(FebSun1+36)=2),FebSun1+36,""))</f>
        <v/>
      </c>
      <c r="D73" s="61" t="s">
        <v>29</v>
      </c>
      <c r="E73" s="55" t="str">
        <f>IF(DAY(FebSun1)=1,IF(AND(YEAR(FebSun1+30)=CalendarYear,MONTH(FebSun1+30)=2),FebSun1+30,""),IF(AND(YEAR(FebSun1+37)=CalendarYear,MONTH(FebSun1+37)=2),FebSun1+37,""))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42" t="s">
        <v>27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CB6:CC6"/>
    <mergeCell ref="G74:P85"/>
    <mergeCell ref="B87:P87"/>
    <mergeCell ref="B86:P86"/>
    <mergeCell ref="B4:C5"/>
    <mergeCell ref="BK4:BN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zoomScale="50" zoomScaleNormal="50" workbookViewId="0">
      <selection activeCell="R18" sqref="R18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16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IF(DAY(MarSun1)=1,"",IF(AND(YEAR(MarSun1+1)=CalendarYear,MONTH(MarSun1+1)=3),MarSun1+1,""))</f>
        <v>44256</v>
      </c>
      <c r="D8" s="61" t="s">
        <v>29</v>
      </c>
      <c r="E8" s="55">
        <f>IF(DAY(MarSun1)=1,"",IF(AND(YEAR(MarSun1+2)=CalendarYear,MONTH(MarSun1+2)=3),MarSun1+2,""))</f>
        <v>44257</v>
      </c>
      <c r="F8" s="61" t="s">
        <v>29</v>
      </c>
      <c r="G8" s="56">
        <f>IF(DAY(MarSun1)=1,"",IF(AND(YEAR(MarSun1+3)=CalendarYear,MONTH(MarSun1+3)=3),MarSun1+3,""))</f>
        <v>44258</v>
      </c>
      <c r="H8" s="61" t="s">
        <v>29</v>
      </c>
      <c r="I8" s="56">
        <f>IF(DAY(MarSun1)=1,"",IF(AND(YEAR(MarSun1+4)=CalendarYear,MONTH(MarSun1+4)=3),MarSun1+4,""))</f>
        <v>44259</v>
      </c>
      <c r="J8" s="61" t="s">
        <v>29</v>
      </c>
      <c r="K8" s="56">
        <f>IF(DAY(MarSun1)=1,"",IF(AND(YEAR(MarSun1+5)=CalendarYear,MONTH(MarSun1+5)=3),MarSun1+5,""))</f>
        <v>44260</v>
      </c>
      <c r="L8" s="61" t="s">
        <v>29</v>
      </c>
      <c r="M8" s="56">
        <f>IF(DAY(MarSun1)=1,"",IF(AND(YEAR(MarSun1+6)=CalendarYear,MONTH(MarSun1+6)=3),MarSun1+6,""))</f>
        <v>44261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44262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IF(DAY(MarSun1)=1,IF(AND(YEAR(MarSun1+1)=CalendarYear,MONTH(MarSun1+1)=3),MarSun1+1,""),IF(AND(YEAR(MarSun1+8)=CalendarYear,MONTH(MarSun1+8)=3),MarSun1+8,""))</f>
        <v>44263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44264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44265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44266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44267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44268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44269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IF(DAY(MarSun1)=1,IF(AND(YEAR(MarSun1+8)=CalendarYear,MONTH(MarSun1+8)=3),MarSun1+8,""),IF(AND(YEAR(MarSun1+15)=CalendarYear,MONTH(MarSun1+15)=3),MarSun1+15,""))</f>
        <v>44270</v>
      </c>
      <c r="D34" s="61" t="s">
        <v>29</v>
      </c>
      <c r="E34" s="55">
        <f>IF(DAY(MarSun1)=1,IF(AND(YEAR(MarSun1+9)=CalendarYear,MONTH(MarSun1+9)=3),MarSun1+9,""),IF(AND(YEAR(MarSun1+16)=CalendarYear,MONTH(MarSun1+16)=3),MarSun1+16,""))</f>
        <v>44271</v>
      </c>
      <c r="F34" s="61" t="s">
        <v>29</v>
      </c>
      <c r="G34" s="56">
        <f>IF(DAY(MarSun1)=1,IF(AND(YEAR(MarSun1+10)=CalendarYear,MONTH(MarSun1+10)=3),MarSun1+10,""),IF(AND(YEAR(MarSun1+17)=CalendarYear,MONTH(MarSun1+17)=3),MarSun1+17,""))</f>
        <v>44272</v>
      </c>
      <c r="H34" s="61" t="s">
        <v>29</v>
      </c>
      <c r="I34" s="56">
        <f>IF(DAY(MarSun1)=1,IF(AND(YEAR(MarSun1+11)=CalendarYear,MONTH(MarSun1+11)=3),MarSun1+11,""),IF(AND(YEAR(MarSun1+18)=CalendarYear,MONTH(MarSun1+18)=3),MarSun1+18,""))</f>
        <v>44273</v>
      </c>
      <c r="J34" s="61" t="s">
        <v>29</v>
      </c>
      <c r="K34" s="56">
        <f>IF(DAY(MarSun1)=1,IF(AND(YEAR(MarSun1+12)=CalendarYear,MONTH(MarSun1+12)=3),MarSun1+12,""),IF(AND(YEAR(MarSun1+19)=CalendarYear,MONTH(MarSun1+19)=3),MarSun1+19,""))</f>
        <v>44274</v>
      </c>
      <c r="L34" s="61" t="s">
        <v>29</v>
      </c>
      <c r="M34" s="56">
        <f>IF(DAY(MarSun1)=1,IF(AND(YEAR(MarSun1+13)=CalendarYear,MONTH(MarSun1+13)=3),MarSun1+13,""),IF(AND(YEAR(MarSun1+20)=CalendarYear,MONTH(MarSun1+20)=3),MarSun1+20,""))</f>
        <v>44275</v>
      </c>
      <c r="N34" s="61" t="s">
        <v>29</v>
      </c>
      <c r="O34" s="56">
        <f>IF(DAY(MarSun1)=1,IF(AND(YEAR(MarSun1+14)=CalendarYear,MONTH(MarSun1+14)=3),MarSun1+14,""),IF(AND(YEAR(MarSun1+21)=CalendarYear,MONTH(MarSun1+21)=3),MarSun1+21,""))</f>
        <v>44276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IF(DAY(MarSun1)=1,IF(AND(YEAR(MarSun1+15)=CalendarYear,MONTH(MarSun1+15)=3),MarSun1+15,""),IF(AND(YEAR(MarSun1+22)=CalendarYear,MONTH(MarSun1+22)=3),MarSun1+22,""))</f>
        <v>44277</v>
      </c>
      <c r="D47" s="61" t="s">
        <v>29</v>
      </c>
      <c r="E47" s="55">
        <f>IF(DAY(MarSun1)=1,IF(AND(YEAR(MarSun1+16)=CalendarYear,MONTH(MarSun1+16)=3),MarSun1+16,""),IF(AND(YEAR(MarSun1+23)=CalendarYear,MONTH(MarSun1+23)=3),MarSun1+23,""))</f>
        <v>44278</v>
      </c>
      <c r="F47" s="61" t="s">
        <v>29</v>
      </c>
      <c r="G47" s="56">
        <f>IF(DAY(MarSun1)=1,IF(AND(YEAR(MarSun1+17)=CalendarYear,MONTH(MarSun1+17)=3),MarSun1+17,""),IF(AND(YEAR(MarSun1+24)=CalendarYear,MONTH(MarSun1+24)=3),MarSun1+24,""))</f>
        <v>44279</v>
      </c>
      <c r="H47" s="61" t="s">
        <v>29</v>
      </c>
      <c r="I47" s="56">
        <f>IF(DAY(MarSun1)=1,IF(AND(YEAR(MarSun1+18)=CalendarYear,MONTH(MarSun1+18)=3),MarSun1+18,""),IF(AND(YEAR(MarSun1+25)=CalendarYear,MONTH(MarSun1+25)=3),MarSun1+25,""))</f>
        <v>44280</v>
      </c>
      <c r="J47" s="61" t="s">
        <v>29</v>
      </c>
      <c r="K47" s="56">
        <f>IF(DAY(MarSun1)=1,IF(AND(YEAR(MarSun1+19)=CalendarYear,MONTH(MarSun1+19)=3),MarSun1+19,""),IF(AND(YEAR(MarSun1+26)=CalendarYear,MONTH(MarSun1+26)=3),MarSun1+26,""))</f>
        <v>44281</v>
      </c>
      <c r="L47" s="61" t="s">
        <v>29</v>
      </c>
      <c r="M47" s="56">
        <f>IF(DAY(MarSun1)=1,IF(AND(YEAR(MarSun1+20)=CalendarYear,MONTH(MarSun1+20)=3),MarSun1+20,""),IF(AND(YEAR(MarSun1+27)=CalendarYear,MONTH(MarSun1+27)=3),MarSun1+27,""))</f>
        <v>44282</v>
      </c>
      <c r="N47" s="61" t="s">
        <v>29</v>
      </c>
      <c r="O47" s="56">
        <f>IF(DAY(MarSun1)=1,IF(AND(YEAR(MarSun1+21)=CalendarYear,MONTH(MarSun1+21)=3),MarSun1+21,""),IF(AND(YEAR(MarSun1+28)=CalendarYear,MONTH(MarSun1+28)=3),MarSun1+28,""))</f>
        <v>44283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IF(DAY(MarSun1)=1,IF(AND(YEAR(MarSun1+22)=CalendarYear,MONTH(MarSun1+22)=3),MarSun1+22,""),IF(AND(YEAR(MarSun1+29)=CalendarYear,MONTH(MarSun1+29)=3),MarSun1+29,""))</f>
        <v>44284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44285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44286</v>
      </c>
      <c r="H60" s="61" t="s">
        <v>29</v>
      </c>
      <c r="I60" s="56" t="str">
        <f>IF(DAY(MarSun1)=1,IF(AND(YEAR(MarSun1+25)=CalendarYear,MONTH(MarSun1+25)=3),MarSun1+25,""),IF(AND(YEAR(MarSun1+32)=CalendarYear,MONTH(MarSun1+32)=3),MarSun1+32,""))</f>
        <v/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17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>
        <f>IF(DAY(AprSun1)=1,"",IF(AND(YEAR(AprSun1+4)=CalendarYear,MONTH(AprSun1+4)=4),AprSun1+4,""))</f>
        <v>44287</v>
      </c>
      <c r="J8" s="61" t="s">
        <v>29</v>
      </c>
      <c r="K8" s="56">
        <f>IF(DAY(AprSun1)=1,"",IF(AND(YEAR(AprSun1+5)=CalendarYear,MONTH(AprSun1+5)=4),AprSun1+5,""))</f>
        <v>44288</v>
      </c>
      <c r="L8" s="61" t="s">
        <v>29</v>
      </c>
      <c r="M8" s="56">
        <f>IF(DAY(AprSun1)=1,"",IF(AND(YEAR(AprSun1+6)=CalendarYear,MONTH(AprSun1+6)=4),AprSun1+6,""))</f>
        <v>44289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44290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IF(DAY(AprSun1)=1,IF(AND(YEAR(AprSun1+1)=CalendarYear,MONTH(AprSun1+1)=4),AprSun1+1,""),IF(AND(YEAR(AprSun1+8)=CalendarYear,MONTH(AprSun1+8)=4),AprSun1+8,""))</f>
        <v>44291</v>
      </c>
      <c r="D21" s="61" t="s">
        <v>29</v>
      </c>
      <c r="E21" s="55">
        <f>IF(DAY(AprSun1)=1,IF(AND(YEAR(AprSun1+2)=CalendarYear,MONTH(AprSun1+2)=4),AprSun1+2,""),IF(AND(YEAR(AprSun1+9)=CalendarYear,MONTH(AprSun1+9)=4),AprSun1+9,""))</f>
        <v>44292</v>
      </c>
      <c r="F21" s="61" t="s">
        <v>29</v>
      </c>
      <c r="G21" s="56">
        <f>IF(DAY(AprSun1)=1,IF(AND(YEAR(AprSun1+3)=CalendarYear,MONTH(AprSun1+3)=4),AprSun1+3,""),IF(AND(YEAR(AprSun1+10)=CalendarYear,MONTH(AprSun1+10)=4),AprSun1+10,""))</f>
        <v>44293</v>
      </c>
      <c r="H21" s="61" t="s">
        <v>29</v>
      </c>
      <c r="I21" s="56">
        <f>IF(DAY(AprSun1)=1,IF(AND(YEAR(AprSun1+4)=CalendarYear,MONTH(AprSun1+4)=4),AprSun1+4,""),IF(AND(YEAR(AprSun1+11)=CalendarYear,MONTH(AprSun1+11)=4),AprSun1+11,""))</f>
        <v>44294</v>
      </c>
      <c r="J21" s="61" t="s">
        <v>29</v>
      </c>
      <c r="K21" s="56">
        <f>IF(DAY(AprSun1)=1,IF(AND(YEAR(AprSun1+5)=CalendarYear,MONTH(AprSun1+5)=4),AprSun1+5,""),IF(AND(YEAR(AprSun1+12)=CalendarYear,MONTH(AprSun1+12)=4),AprSun1+12,""))</f>
        <v>44295</v>
      </c>
      <c r="L21" s="61" t="s">
        <v>29</v>
      </c>
      <c r="M21" s="56">
        <f>IF(DAY(AprSun1)=1,IF(AND(YEAR(AprSun1+6)=CalendarYear,MONTH(AprSun1+6)=4),AprSun1+6,""),IF(AND(YEAR(AprSun1+13)=CalendarYear,MONTH(AprSun1+13)=4),AprSun1+13,""))</f>
        <v>44296</v>
      </c>
      <c r="N21" s="61" t="s">
        <v>29</v>
      </c>
      <c r="O21" s="56">
        <f>IF(DAY(AprSun1)=1,IF(AND(YEAR(AprSun1+7)=CalendarYear,MONTH(AprSun1+7)=4),AprSun1+7,""),IF(AND(YEAR(AprSun1+14)=CalendarYear,MONTH(AprSun1+14)=4),AprSun1+14,""))</f>
        <v>44297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IF(DAY(AprSun1)=1,IF(AND(YEAR(AprSun1+8)=CalendarYear,MONTH(AprSun1+8)=4),AprSun1+8,""),IF(AND(YEAR(AprSun1+15)=CalendarYear,MONTH(AprSun1+15)=4),AprSun1+15,""))</f>
        <v>44298</v>
      </c>
      <c r="D34" s="61" t="s">
        <v>29</v>
      </c>
      <c r="E34" s="55">
        <f>IF(DAY(AprSun1)=1,IF(AND(YEAR(AprSun1+9)=CalendarYear,MONTH(AprSun1+9)=4),AprSun1+9,""),IF(AND(YEAR(AprSun1+16)=CalendarYear,MONTH(AprSun1+16)=4),AprSun1+16,""))</f>
        <v>44299</v>
      </c>
      <c r="F34" s="61" t="s">
        <v>29</v>
      </c>
      <c r="G34" s="56">
        <f>IF(DAY(AprSun1)=1,IF(AND(YEAR(AprSun1+10)=CalendarYear,MONTH(AprSun1+10)=4),AprSun1+10,""),IF(AND(YEAR(AprSun1+17)=CalendarYear,MONTH(AprSun1+17)=4),AprSun1+17,""))</f>
        <v>44300</v>
      </c>
      <c r="H34" s="61" t="s">
        <v>29</v>
      </c>
      <c r="I34" s="56">
        <f>IF(DAY(AprSun1)=1,IF(AND(YEAR(AprSun1+11)=CalendarYear,MONTH(AprSun1+11)=4),AprSun1+11,""),IF(AND(YEAR(AprSun1+18)=CalendarYear,MONTH(AprSun1+18)=4),AprSun1+18,""))</f>
        <v>44301</v>
      </c>
      <c r="J34" s="61" t="s">
        <v>29</v>
      </c>
      <c r="K34" s="56">
        <f>IF(DAY(AprSun1)=1,IF(AND(YEAR(AprSun1+12)=CalendarYear,MONTH(AprSun1+12)=4),AprSun1+12,""),IF(AND(YEAR(AprSun1+19)=CalendarYear,MONTH(AprSun1+19)=4),AprSun1+19,""))</f>
        <v>44302</v>
      </c>
      <c r="L34" s="61" t="s">
        <v>29</v>
      </c>
      <c r="M34" s="56">
        <f>IF(DAY(AprSun1)=1,IF(AND(YEAR(AprSun1+13)=CalendarYear,MONTH(AprSun1+13)=4),AprSun1+13,""),IF(AND(YEAR(AprSun1+20)=CalendarYear,MONTH(AprSun1+20)=4),AprSun1+20,""))</f>
        <v>44303</v>
      </c>
      <c r="N34" s="61" t="s">
        <v>29</v>
      </c>
      <c r="O34" s="56">
        <f>IF(DAY(AprSun1)=1,IF(AND(YEAR(AprSun1+14)=CalendarYear,MONTH(AprSun1+14)=4),AprSun1+14,""),IF(AND(YEAR(AprSun1+21)=CalendarYear,MONTH(AprSun1+21)=4),AprSun1+21,""))</f>
        <v>44304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IF(DAY(AprSun1)=1,IF(AND(YEAR(AprSun1+15)=CalendarYear,MONTH(AprSun1+15)=4),AprSun1+15,""),IF(AND(YEAR(AprSun1+22)=CalendarYear,MONTH(AprSun1+22)=4),AprSun1+22,""))</f>
        <v>44305</v>
      </c>
      <c r="D47" s="61" t="s">
        <v>29</v>
      </c>
      <c r="E47" s="55">
        <f>IF(DAY(AprSun1)=1,IF(AND(YEAR(AprSun1+16)=CalendarYear,MONTH(AprSun1+16)=4),AprSun1+16,""),IF(AND(YEAR(AprSun1+23)=CalendarYear,MONTH(AprSun1+23)=4),AprSun1+23,""))</f>
        <v>44306</v>
      </c>
      <c r="F47" s="61" t="s">
        <v>29</v>
      </c>
      <c r="G47" s="56">
        <f>IF(DAY(AprSun1)=1,IF(AND(YEAR(AprSun1+17)=CalendarYear,MONTH(AprSun1+17)=4),AprSun1+17,""),IF(AND(YEAR(AprSun1+24)=CalendarYear,MONTH(AprSun1+24)=4),AprSun1+24,""))</f>
        <v>44307</v>
      </c>
      <c r="H47" s="61" t="s">
        <v>29</v>
      </c>
      <c r="I47" s="56">
        <f>IF(DAY(AprSun1)=1,IF(AND(YEAR(AprSun1+18)=CalendarYear,MONTH(AprSun1+18)=4),AprSun1+18,""),IF(AND(YEAR(AprSun1+25)=CalendarYear,MONTH(AprSun1+25)=4),AprSun1+25,""))</f>
        <v>44308</v>
      </c>
      <c r="J47" s="61" t="s">
        <v>29</v>
      </c>
      <c r="K47" s="56">
        <f>IF(DAY(AprSun1)=1,IF(AND(YEAR(AprSun1+19)=CalendarYear,MONTH(AprSun1+19)=4),AprSun1+19,""),IF(AND(YEAR(AprSun1+26)=CalendarYear,MONTH(AprSun1+26)=4),AprSun1+26,""))</f>
        <v>44309</v>
      </c>
      <c r="L47" s="61" t="s">
        <v>29</v>
      </c>
      <c r="M47" s="56">
        <f>IF(DAY(AprSun1)=1,IF(AND(YEAR(AprSun1+20)=CalendarYear,MONTH(AprSun1+20)=4),AprSun1+20,""),IF(AND(YEAR(AprSun1+27)=CalendarYear,MONTH(AprSun1+27)=4),AprSun1+27,""))</f>
        <v>44310</v>
      </c>
      <c r="N47" s="61" t="s">
        <v>29</v>
      </c>
      <c r="O47" s="56">
        <f>IF(DAY(AprSun1)=1,IF(AND(YEAR(AprSun1+21)=CalendarYear,MONTH(AprSun1+21)=4),AprSun1+21,""),IF(AND(YEAR(AprSun1+28)=CalendarYear,MONTH(AprSun1+28)=4),AprSun1+28,""))</f>
        <v>44311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IF(DAY(AprSun1)=1,IF(AND(YEAR(AprSun1+22)=CalendarYear,MONTH(AprSun1+22)=4),AprSun1+22,""),IF(AND(YEAR(AprSun1+29)=CalendarYear,MONTH(AprSun1+29)=4),AprSun1+29,""))</f>
        <v>44312</v>
      </c>
      <c r="D60" s="61" t="s">
        <v>29</v>
      </c>
      <c r="E60" s="55">
        <f>IF(DAY(AprSun1)=1,IF(AND(YEAR(AprSun1+23)=CalendarYear,MONTH(AprSun1+23)=4),AprSun1+23,""),IF(AND(YEAR(AprSun1+30)=CalendarYear,MONTH(AprSun1+30)=4),AprSun1+30,""))</f>
        <v>44313</v>
      </c>
      <c r="F60" s="61" t="s">
        <v>29</v>
      </c>
      <c r="G60" s="56">
        <f>IF(DAY(AprSun1)=1,IF(AND(YEAR(AprSun1+24)=CalendarYear,MONTH(AprSun1+24)=4),AprSun1+24,""),IF(AND(YEAR(AprSun1+31)=CalendarYear,MONTH(AprSun1+31)=4),AprSun1+31,""))</f>
        <v>44314</v>
      </c>
      <c r="H60" s="61" t="s">
        <v>29</v>
      </c>
      <c r="I60" s="56">
        <f>IF(DAY(AprSun1)=1,IF(AND(YEAR(AprSun1+25)=CalendarYear,MONTH(AprSun1+25)=4),AprSun1+25,""),IF(AND(YEAR(AprSun1+32)=CalendarYear,MONTH(AprSun1+32)=4),AprSun1+32,""))</f>
        <v>44315</v>
      </c>
      <c r="J60" s="61" t="s">
        <v>29</v>
      </c>
      <c r="K60" s="56">
        <f>IF(DAY(AprSun1)=1,IF(AND(YEAR(AprSun1+26)=CalendarYear,MONTH(AprSun1+26)=4),AprSun1+26,""),IF(AND(YEAR(AprSun1+33)=CalendarYear,MONTH(AprSun1+33)=4),AprSun1+33,""))</f>
        <v>44316</v>
      </c>
      <c r="L60" s="61" t="s">
        <v>29</v>
      </c>
      <c r="M60" s="56" t="str">
        <f>IF(DAY(AprSun1)=1,IF(AND(YEAR(AprSun1+27)=CalendarYear,MONTH(AprSun1+27)=4),AprSun1+27,""),IF(AND(YEAR(AprSun1+34)=CalendarYear,MONTH(AprSun1+34)=4),AprSun1+34,""))</f>
        <v/>
      </c>
      <c r="N60" s="61" t="s">
        <v>29</v>
      </c>
      <c r="O60" s="56" t="str">
        <f>IF(DAY(AprSun1)=1,IF(AND(YEAR(AprSun1+28)=CalendarYear,MONTH(AprSun1+28)=4),AprSun1+28,""),IF(AND(YEAR(AprSun1+35)=CalendarYear,MONTH(AprSun1+35)=4),AprSun1+35,""))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IF(DAY(AprSun1)=1,IF(AND(YEAR(AprSun1+29)=CalendarYear,MONTH(AprSun1+29)=4),AprSun1+29,""),IF(AND(YEAR(AprSun1+36)=CalendarYear,MONTH(AprSun1+36)=4),AprSun1+36,""))</f>
        <v/>
      </c>
      <c r="D73" s="61" t="s">
        <v>29</v>
      </c>
      <c r="E73" s="55" t="str">
        <f>IF(DAY(AprSun1)=1,IF(AND(YEAR(AprSun1+30)=CalendarYear,MONTH(AprSun1+30)=4),AprSun1+30,""),IF(AND(YEAR(AprSun1+37)=CalendarYear,MONTH(AprSun1+37)=4),AprSun1+37,""))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18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>
        <f>IF(DAY(MaySun1)=1,"",IF(AND(YEAR(MaySun1+6)=CalendarYear,MONTH(MaySun1+6)=5),MaySun1+6,""))</f>
        <v>44317</v>
      </c>
      <c r="N8" s="61" t="s">
        <v>29</v>
      </c>
      <c r="O8" s="56">
        <f>IF(DAY(MaySun1)=1,IF(AND(YEAR(MaySun1)=CalendarYear,MONTH(MaySun1)=5),MaySun1,""),IF(AND(YEAR(MaySun1+7)=CalendarYear,MONTH(MaySun1+7)=5),MaySun1+7,""))</f>
        <v>44318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IF(DAY(MaySun1)=1,IF(AND(YEAR(MaySun1+1)=CalendarYear,MONTH(MaySun1+1)=5),MaySun1+1,""),IF(AND(YEAR(MaySun1+8)=CalendarYear,MONTH(MaySun1+8)=5),MaySun1+8,""))</f>
        <v>44319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44320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44321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44322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44323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44324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44325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IF(DAY(MaySun1)=1,IF(AND(YEAR(MaySun1+8)=CalendarYear,MONTH(MaySun1+8)=5),MaySun1+8,""),IF(AND(YEAR(MaySun1+15)=CalendarYear,MONTH(MaySun1+15)=5),MaySun1+15,""))</f>
        <v>44326</v>
      </c>
      <c r="D34" s="61" t="s">
        <v>29</v>
      </c>
      <c r="E34" s="55">
        <f>IF(DAY(MaySun1)=1,IF(AND(YEAR(MaySun1+9)=CalendarYear,MONTH(MaySun1+9)=5),MaySun1+9,""),IF(AND(YEAR(MaySun1+16)=CalendarYear,MONTH(MaySun1+16)=5),MaySun1+16,""))</f>
        <v>44327</v>
      </c>
      <c r="F34" s="61" t="s">
        <v>29</v>
      </c>
      <c r="G34" s="56">
        <f>IF(DAY(MaySun1)=1,IF(AND(YEAR(MaySun1+10)=CalendarYear,MONTH(MaySun1+10)=5),MaySun1+10,""),IF(AND(YEAR(MaySun1+17)=CalendarYear,MONTH(MaySun1+17)=5),MaySun1+17,""))</f>
        <v>44328</v>
      </c>
      <c r="H34" s="61" t="s">
        <v>29</v>
      </c>
      <c r="I34" s="56">
        <f>IF(DAY(MaySun1)=1,IF(AND(YEAR(MaySun1+11)=CalendarYear,MONTH(MaySun1+11)=5),MaySun1+11,""),IF(AND(YEAR(MaySun1+18)=CalendarYear,MONTH(MaySun1+18)=5),MaySun1+18,""))</f>
        <v>44329</v>
      </c>
      <c r="J34" s="61" t="s">
        <v>29</v>
      </c>
      <c r="K34" s="56">
        <f>IF(DAY(MaySun1)=1,IF(AND(YEAR(MaySun1+12)=CalendarYear,MONTH(MaySun1+12)=5),MaySun1+12,""),IF(AND(YEAR(MaySun1+19)=CalendarYear,MONTH(MaySun1+19)=5),MaySun1+19,""))</f>
        <v>44330</v>
      </c>
      <c r="L34" s="61" t="s">
        <v>29</v>
      </c>
      <c r="M34" s="56">
        <f>IF(DAY(MaySun1)=1,IF(AND(YEAR(MaySun1+13)=CalendarYear,MONTH(MaySun1+13)=5),MaySun1+13,""),IF(AND(YEAR(MaySun1+20)=CalendarYear,MONTH(MaySun1+20)=5),MaySun1+20,""))</f>
        <v>44331</v>
      </c>
      <c r="N34" s="61" t="s">
        <v>29</v>
      </c>
      <c r="O34" s="56">
        <f>IF(DAY(MaySun1)=1,IF(AND(YEAR(MaySun1+14)=CalendarYear,MONTH(MaySun1+14)=5),MaySun1+14,""),IF(AND(YEAR(MaySun1+21)=CalendarYear,MONTH(MaySun1+21)=5),MaySun1+21,""))</f>
        <v>44332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IF(DAY(MaySun1)=1,IF(AND(YEAR(MaySun1+15)=CalendarYear,MONTH(MaySun1+15)=5),MaySun1+15,""),IF(AND(YEAR(MaySun1+22)=CalendarYear,MONTH(MaySun1+22)=5),MaySun1+22,""))</f>
        <v>44333</v>
      </c>
      <c r="D47" s="61" t="s">
        <v>29</v>
      </c>
      <c r="E47" s="55">
        <f>IF(DAY(MaySun1)=1,IF(AND(YEAR(MaySun1+16)=CalendarYear,MONTH(MaySun1+16)=5),MaySun1+16,""),IF(AND(YEAR(MaySun1+23)=CalendarYear,MONTH(MaySun1+23)=5),MaySun1+23,""))</f>
        <v>44334</v>
      </c>
      <c r="F47" s="61" t="s">
        <v>29</v>
      </c>
      <c r="G47" s="56">
        <f>IF(DAY(MaySun1)=1,IF(AND(YEAR(MaySun1+17)=CalendarYear,MONTH(MaySun1+17)=5),MaySun1+17,""),IF(AND(YEAR(MaySun1+24)=CalendarYear,MONTH(MaySun1+24)=5),MaySun1+24,""))</f>
        <v>44335</v>
      </c>
      <c r="H47" s="61" t="s">
        <v>29</v>
      </c>
      <c r="I47" s="56">
        <f>IF(DAY(MaySun1)=1,IF(AND(YEAR(MaySun1+18)=CalendarYear,MONTH(MaySun1+18)=5),MaySun1+18,""),IF(AND(YEAR(MaySun1+25)=CalendarYear,MONTH(MaySun1+25)=5),MaySun1+25,""))</f>
        <v>44336</v>
      </c>
      <c r="J47" s="61" t="s">
        <v>29</v>
      </c>
      <c r="K47" s="56">
        <f>IF(DAY(MaySun1)=1,IF(AND(YEAR(MaySun1+19)=CalendarYear,MONTH(MaySun1+19)=5),MaySun1+19,""),IF(AND(YEAR(MaySun1+26)=CalendarYear,MONTH(MaySun1+26)=5),MaySun1+26,""))</f>
        <v>44337</v>
      </c>
      <c r="L47" s="61" t="s">
        <v>29</v>
      </c>
      <c r="M47" s="56">
        <f>IF(DAY(MaySun1)=1,IF(AND(YEAR(MaySun1+20)=CalendarYear,MONTH(MaySun1+20)=5),MaySun1+20,""),IF(AND(YEAR(MaySun1+27)=CalendarYear,MONTH(MaySun1+27)=5),MaySun1+27,""))</f>
        <v>44338</v>
      </c>
      <c r="N47" s="61" t="s">
        <v>29</v>
      </c>
      <c r="O47" s="56">
        <f>IF(DAY(MaySun1)=1,IF(AND(YEAR(MaySun1+21)=CalendarYear,MONTH(MaySun1+21)=5),MaySun1+21,""),IF(AND(YEAR(MaySun1+28)=CalendarYear,MONTH(MaySun1+28)=5),MaySun1+28,""))</f>
        <v>44339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IF(DAY(MaySun1)=1,IF(AND(YEAR(MaySun1+22)=CalendarYear,MONTH(MaySun1+22)=5),MaySun1+22,""),IF(AND(YEAR(MaySun1+29)=CalendarYear,MONTH(MaySun1+29)=5),MaySun1+29,""))</f>
        <v>44340</v>
      </c>
      <c r="D60" s="61" t="s">
        <v>29</v>
      </c>
      <c r="E60" s="55">
        <f>IF(DAY(MaySun1)=1,IF(AND(YEAR(MaySun1+23)=CalendarYear,MONTH(MaySun1+23)=5),MaySun1+23,""),IF(AND(YEAR(MaySun1+30)=CalendarYear,MONTH(MaySun1+30)=5),MaySun1+30,""))</f>
        <v>44341</v>
      </c>
      <c r="F60" s="61" t="s">
        <v>29</v>
      </c>
      <c r="G60" s="56">
        <f>IF(DAY(MaySun1)=1,IF(AND(YEAR(MaySun1+24)=CalendarYear,MONTH(MaySun1+24)=5),MaySun1+24,""),IF(AND(YEAR(MaySun1+31)=CalendarYear,MONTH(MaySun1+31)=5),MaySun1+31,""))</f>
        <v>44342</v>
      </c>
      <c r="H60" s="61" t="s">
        <v>29</v>
      </c>
      <c r="I60" s="56">
        <f>IF(DAY(MaySun1)=1,IF(AND(YEAR(MaySun1+25)=CalendarYear,MONTH(MaySun1+25)=5),MaySun1+25,""),IF(AND(YEAR(MaySun1+32)=CalendarYear,MONTH(MaySun1+32)=5),MaySun1+32,""))</f>
        <v>44343</v>
      </c>
      <c r="J60" s="61" t="s">
        <v>29</v>
      </c>
      <c r="K60" s="56">
        <f>IF(DAY(MaySun1)=1,IF(AND(YEAR(MaySun1+26)=CalendarYear,MONTH(MaySun1+26)=5),MaySun1+26,""),IF(AND(YEAR(MaySun1+33)=CalendarYear,MONTH(MaySun1+33)=5),MaySun1+33,""))</f>
        <v>44344</v>
      </c>
      <c r="L60" s="61" t="s">
        <v>29</v>
      </c>
      <c r="M60" s="56">
        <f>IF(DAY(MaySun1)=1,IF(AND(YEAR(MaySun1+27)=CalendarYear,MONTH(MaySun1+27)=5),MaySun1+27,""),IF(AND(YEAR(MaySun1+34)=CalendarYear,MONTH(MaySun1+34)=5),MaySun1+34,""))</f>
        <v>44345</v>
      </c>
      <c r="N60" s="61" t="s">
        <v>29</v>
      </c>
      <c r="O60" s="56">
        <f>IF(DAY(MaySun1)=1,IF(AND(YEAR(MaySun1+28)=CalendarYear,MONTH(MaySun1+28)=5),MaySun1+28,""),IF(AND(YEAR(MaySun1+35)=CalendarYear,MONTH(MaySun1+35)=5),MaySun1+35,""))</f>
        <v>44346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IF(DAY(MaySun1)=1,IF(AND(YEAR(MaySun1+29)=CalendarYear,MONTH(MaySun1+29)=5),MaySun1+29,""),IF(AND(YEAR(MaySun1+36)=CalendarYear,MONTH(MaySun1+36)=5),MaySun1+36,""))</f>
        <v>44347</v>
      </c>
      <c r="D73" s="61" t="s">
        <v>29</v>
      </c>
      <c r="E73" s="55" t="str">
        <f>IF(DAY(MaySun1)=1,IF(AND(YEAR(MaySun1+30)=CalendarYear,MONTH(MaySun1+30)=5),MaySun1+30,""),IF(AND(YEAR(MaySun1+37)=CalendarYear,MONTH(MaySun1+37)=5),MaySun1+37,""))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19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>
        <f>IF(DAY(JunSun1)=1,"",IF(AND(YEAR(JunSun1+2)=CalendarYear,MONTH(JunSun1+2)=6),JunSun1+2,""))</f>
        <v>44348</v>
      </c>
      <c r="F8" s="61" t="s">
        <v>29</v>
      </c>
      <c r="G8" s="56">
        <f>IF(DAY(JunSun1)=1,"",IF(AND(YEAR(JunSun1+3)=CalendarYear,MONTH(JunSun1+3)=6),JunSun1+3,""))</f>
        <v>44349</v>
      </c>
      <c r="H8" s="61" t="s">
        <v>29</v>
      </c>
      <c r="I8" s="56">
        <f>IF(DAY(JunSun1)=1,"",IF(AND(YEAR(JunSun1+4)=CalendarYear,MONTH(JunSun1+4)=6),JunSun1+4,""))</f>
        <v>44350</v>
      </c>
      <c r="J8" s="61" t="s">
        <v>29</v>
      </c>
      <c r="K8" s="56">
        <f>IF(DAY(JunSun1)=1,"",IF(AND(YEAR(JunSun1+5)=CalendarYear,MONTH(JunSun1+5)=6),JunSun1+5,""))</f>
        <v>44351</v>
      </c>
      <c r="L8" s="61" t="s">
        <v>29</v>
      </c>
      <c r="M8" s="56">
        <f>IF(DAY(JunSun1)=1,"",IF(AND(YEAR(JunSun1+6)=CalendarYear,MONTH(JunSun1+6)=6),JunSun1+6,""))</f>
        <v>44352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44353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44354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44355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44356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44357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44358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44359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44360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44361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44362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44363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44364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44365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44366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44367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44368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44369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44370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44371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44372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44373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44374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44375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44376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44377</v>
      </c>
      <c r="H60" s="61" t="s">
        <v>29</v>
      </c>
      <c r="I60" s="56" t="str">
        <f>IF(DAY(JunSun1)=1,IF(AND(YEAR(JunSun1+25)=CalendarYear,MONTH(JunSun1+25)=6),JunSun1+25,""),IF(AND(YEAR(JunSun1+32)=CalendarYear,MONTH(JunSun1+32)=6),JunSun1+32,""))</f>
        <v/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20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>
        <f>IF(DAY(JulSun1)=1,"",IF(AND(YEAR(JulSun1+4)=CalendarYear,MONTH(JulSun1+4)=7),JulSun1+4,""))</f>
        <v>44378</v>
      </c>
      <c r="J8" s="61" t="s">
        <v>29</v>
      </c>
      <c r="K8" s="56">
        <f>IF(DAY(JulSun1)=1,"",IF(AND(YEAR(JulSun1+5)=CalendarYear,MONTH(JulSun1+5)=7),JulSun1+5,""))</f>
        <v>44379</v>
      </c>
      <c r="L8" s="61" t="s">
        <v>29</v>
      </c>
      <c r="M8" s="56">
        <f>IF(DAY(JulSun1)=1,"",IF(AND(YEAR(JulSun1+6)=CalendarYear,MONTH(JulSun1+6)=7),JulSun1+6,""))</f>
        <v>44380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44381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44382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44383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44384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44385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44386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44387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44388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44389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44390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44391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44392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44393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44394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44395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44396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44397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44398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44399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44400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44401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44402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44403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44404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44405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44406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44407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44408</v>
      </c>
      <c r="N60" s="61" t="s">
        <v>29</v>
      </c>
      <c r="O60" s="56" t="str">
        <f>IF(DAY(JulSun1)=1,IF(AND(YEAR(JulSun1+28)=CalendarYear,MONTH(JulSun1+28)=7),JulSun1+28,""),IF(AND(YEAR(JulSun1+35)=CalendarYear,MONTH(JulSun1+35)=7),JulSun1+35,""))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21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IF(DAY(AugSun1)=1,"",IF(AND(YEAR(AugSun1+1)=CalendarYear,MONTH(AugSun1+1)=8),AugSun1+1,""))</f>
        <v/>
      </c>
      <c r="D8" s="61" t="s">
        <v>29</v>
      </c>
      <c r="E8" s="55" t="str">
        <f>IF(DAY(AugSun1)=1,"",IF(AND(YEAR(AugSun1+2)=CalendarYear,MONTH(AugSun1+2)=8),AugSun1+2,""))</f>
        <v/>
      </c>
      <c r="F8" s="61" t="s">
        <v>29</v>
      </c>
      <c r="G8" s="56" t="str">
        <f>IF(DAY(AugSun1)=1,"",IF(AND(YEAR(AugSun1+3)=CalendarYear,MONTH(AugSun1+3)=8),AugSun1+3,""))</f>
        <v/>
      </c>
      <c r="H8" s="61" t="s">
        <v>29</v>
      </c>
      <c r="I8" s="56" t="str">
        <f>IF(DAY(AugSun1)=1,"",IF(AND(YEAR(AugSun1+4)=CalendarYear,MONTH(AugSun1+4)=8),AugSun1+4,""))</f>
        <v/>
      </c>
      <c r="J8" s="61" t="s">
        <v>29</v>
      </c>
      <c r="K8" s="56" t="str">
        <f>IF(DAY(AugSun1)=1,"",IF(AND(YEAR(AugSun1+5)=CalendarYear,MONTH(AugSun1+5)=8),AugSun1+5,""))</f>
        <v/>
      </c>
      <c r="L8" s="61" t="s">
        <v>29</v>
      </c>
      <c r="M8" s="56" t="str">
        <f>IF(DAY(AugSun1)=1,"",IF(AND(YEAR(AugSun1+6)=CalendarYear,MONTH(AugSun1+6)=8),AugSun1+6,""))</f>
        <v/>
      </c>
      <c r="N8" s="61" t="s">
        <v>29</v>
      </c>
      <c r="O8" s="56">
        <f>IF(DAY(AugSun1)=1,IF(AND(YEAR(AugSun1)=CalendarYear,MONTH(AugSun1)=8),AugSun1,""),IF(AND(YEAR(AugSun1+7)=CalendarYear,MONTH(AugSun1+7)=8),AugSun1+7,""))</f>
        <v>44409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44410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44411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44412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44413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44414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44415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44416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44417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44418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44419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44420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44421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44422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44423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44424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44425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44426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44427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44428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44429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44430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44431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44432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44433</v>
      </c>
      <c r="H60" s="61" t="s">
        <v>29</v>
      </c>
      <c r="I60" s="56">
        <f>IF(DAY(AugSun1)=1,IF(AND(YEAR(AugSun1+25)=CalendarYear,MONTH(AugSun1+25)=8),AugSun1+25,""),IF(AND(YEAR(AugSun1+32)=CalendarYear,MONTH(AugSun1+32)=8),AugSun1+32,""))</f>
        <v>44434</v>
      </c>
      <c r="J60" s="61" t="s">
        <v>29</v>
      </c>
      <c r="K60" s="56">
        <f>IF(DAY(AugSun1)=1,IF(AND(YEAR(AugSun1+26)=CalendarYear,MONTH(AugSun1+26)=8),AugSun1+26,""),IF(AND(YEAR(AugSun1+33)=CalendarYear,MONTH(AugSun1+33)=8),AugSun1+33,""))</f>
        <v>44435</v>
      </c>
      <c r="L60" s="61" t="s">
        <v>29</v>
      </c>
      <c r="M60" s="56">
        <f>IF(DAY(AugSun1)=1,IF(AND(YEAR(AugSun1+27)=CalendarYear,MONTH(AugSun1+27)=8),AugSun1+27,""),IF(AND(YEAR(AugSun1+34)=CalendarYear,MONTH(AugSun1+34)=8),AugSun1+34,""))</f>
        <v>44436</v>
      </c>
      <c r="N60" s="61" t="s">
        <v>29</v>
      </c>
      <c r="O60" s="56">
        <f>IF(DAY(AugSun1)=1,IF(AND(YEAR(AugSun1+28)=CalendarYear,MONTH(AugSun1+28)=8),AugSun1+28,""),IF(AND(YEAR(AugSun1+35)=CalendarYear,MONTH(AugSun1+35)=8),AugSun1+35,""))</f>
        <v>44437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IF(DAY(AugSun1)=1,IF(AND(YEAR(AugSun1+29)=CalendarYear,MONTH(AugSun1+29)=8),AugSun1+29,""),IF(AND(YEAR(AugSun1+36)=CalendarYear,MONTH(AugSun1+36)=8),AugSun1+36,""))</f>
        <v>44438</v>
      </c>
      <c r="D73" s="61" t="s">
        <v>29</v>
      </c>
      <c r="E73" s="55">
        <f>IF(DAY(AugSun1)=1,IF(AND(YEAR(AugSun1+30)=CalendarYear,MONTH(AugSun1+30)=8),AugSun1+30,""),IF(AND(YEAR(AugSun1+37)=CalendarYear,MONTH(AugSun1+37)=8),AugSun1+37,""))</f>
        <v>44439</v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40"/>
      <c r="C4" s="140"/>
      <c r="R4" s="46"/>
      <c r="S4" s="46"/>
      <c r="BB4" s="9"/>
      <c r="BC4" s="9"/>
      <c r="BD4" s="9"/>
      <c r="BK4" s="128"/>
      <c r="BL4" s="128"/>
      <c r="BM4" s="128"/>
      <c r="BN4" s="128"/>
      <c r="CG4" s="11"/>
      <c r="CH4" s="13"/>
      <c r="CI4" s="11"/>
    </row>
    <row r="5" spans="1:88" ht="30" customHeight="1" x14ac:dyDescent="0.65">
      <c r="B5" s="140"/>
      <c r="C5" s="140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28"/>
      <c r="BL5" s="128"/>
      <c r="BM5" s="128"/>
      <c r="BN5" s="128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41" t="s">
        <v>22</v>
      </c>
      <c r="H6" s="141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29"/>
      <c r="CC6" s="129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>
        <f>IF(DAY(SepSun1)=1,"",IF(AND(YEAR(SepSun1+3)=CalendarYear,MONTH(SepSun1+3)=9),SepSun1+3,""))</f>
        <v>44440</v>
      </c>
      <c r="H8" s="61" t="s">
        <v>29</v>
      </c>
      <c r="I8" s="56">
        <f>IF(DAY(SepSun1)=1,"",IF(AND(YEAR(SepSun1+4)=CalendarYear,MONTH(SepSun1+4)=9),SepSun1+4,""))</f>
        <v>44441</v>
      </c>
      <c r="J8" s="61" t="s">
        <v>29</v>
      </c>
      <c r="K8" s="56">
        <f>IF(DAY(SepSun1)=1,"",IF(AND(YEAR(SepSun1+5)=CalendarYear,MONTH(SepSun1+5)=9),SepSun1+5,""))</f>
        <v>44442</v>
      </c>
      <c r="L8" s="61" t="s">
        <v>29</v>
      </c>
      <c r="M8" s="56">
        <f>IF(DAY(SepSun1)=1,"",IF(AND(YEAR(SepSun1+6)=CalendarYear,MONTH(SepSun1+6)=9),SepSun1+6,""))</f>
        <v>44443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44444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44445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44446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44447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44448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44449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44450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44451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44452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44453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44454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44455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44456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44457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44458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44459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44460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44461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44462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44463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44464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44465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44466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44467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44468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44469</v>
      </c>
      <c r="J60" s="61" t="s">
        <v>29</v>
      </c>
      <c r="K60" s="56" t="str">
        <f>IF(DAY(SepSun1)=1,IF(AND(YEAR(SepSun1+26)=CalendarYear,MONTH(SepSun1+26)=9),SepSun1+26,""),IF(AND(YEAR(SepSun1+33)=CalendarYear,MONTH(SepSun1+33)=9),SepSun1+33,""))</f>
        <v/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31"/>
      <c r="H74" s="132"/>
      <c r="I74" s="132"/>
      <c r="J74" s="132"/>
      <c r="K74" s="132"/>
      <c r="L74" s="132"/>
      <c r="M74" s="132"/>
      <c r="N74" s="132"/>
      <c r="O74" s="132"/>
      <c r="P74" s="133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34"/>
      <c r="H75" s="135"/>
      <c r="I75" s="135"/>
      <c r="J75" s="135"/>
      <c r="K75" s="135"/>
      <c r="L75" s="135"/>
      <c r="M75" s="135"/>
      <c r="N75" s="135"/>
      <c r="O75" s="135"/>
      <c r="P75" s="136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34"/>
      <c r="H76" s="135"/>
      <c r="I76" s="135"/>
      <c r="J76" s="135"/>
      <c r="K76" s="135"/>
      <c r="L76" s="135"/>
      <c r="M76" s="135"/>
      <c r="N76" s="135"/>
      <c r="O76" s="135"/>
      <c r="P76" s="136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34"/>
      <c r="H77" s="135"/>
      <c r="I77" s="135"/>
      <c r="J77" s="135"/>
      <c r="K77" s="135"/>
      <c r="L77" s="135"/>
      <c r="M77" s="135"/>
      <c r="N77" s="135"/>
      <c r="O77" s="135"/>
      <c r="P77" s="136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34"/>
      <c r="H78" s="135"/>
      <c r="I78" s="135"/>
      <c r="J78" s="135"/>
      <c r="K78" s="135"/>
      <c r="L78" s="135"/>
      <c r="M78" s="135"/>
      <c r="N78" s="135"/>
      <c r="O78" s="135"/>
      <c r="P78" s="136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34"/>
      <c r="H79" s="135"/>
      <c r="I79" s="135"/>
      <c r="J79" s="135"/>
      <c r="K79" s="135"/>
      <c r="L79" s="135"/>
      <c r="M79" s="135"/>
      <c r="N79" s="135"/>
      <c r="O79" s="135"/>
      <c r="P79" s="136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34"/>
      <c r="H80" s="135"/>
      <c r="I80" s="135"/>
      <c r="J80" s="135"/>
      <c r="K80" s="135"/>
      <c r="L80" s="135"/>
      <c r="M80" s="135"/>
      <c r="N80" s="135"/>
      <c r="O80" s="135"/>
      <c r="P80" s="136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34"/>
      <c r="H81" s="135"/>
      <c r="I81" s="135"/>
      <c r="J81" s="135"/>
      <c r="K81" s="135"/>
      <c r="L81" s="135"/>
      <c r="M81" s="135"/>
      <c r="N81" s="135"/>
      <c r="O81" s="135"/>
      <c r="P81" s="136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34"/>
      <c r="H82" s="135"/>
      <c r="I82" s="135"/>
      <c r="J82" s="135"/>
      <c r="K82" s="135"/>
      <c r="L82" s="135"/>
      <c r="M82" s="135"/>
      <c r="N82" s="135"/>
      <c r="O82" s="135"/>
      <c r="P82" s="136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34"/>
      <c r="H83" s="135"/>
      <c r="I83" s="135"/>
      <c r="J83" s="135"/>
      <c r="K83" s="135"/>
      <c r="L83" s="135"/>
      <c r="M83" s="135"/>
      <c r="N83" s="135"/>
      <c r="O83" s="135"/>
      <c r="P83" s="136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34"/>
      <c r="H84" s="135"/>
      <c r="I84" s="135"/>
      <c r="J84" s="135"/>
      <c r="K84" s="135"/>
      <c r="L84" s="135"/>
      <c r="M84" s="135"/>
      <c r="N84" s="135"/>
      <c r="O84" s="135"/>
      <c r="P84" s="136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37"/>
      <c r="H85" s="138"/>
      <c r="I85" s="138"/>
      <c r="J85" s="138"/>
      <c r="K85" s="138"/>
      <c r="L85" s="138"/>
      <c r="M85" s="138"/>
      <c r="N85" s="138"/>
      <c r="O85" s="138"/>
      <c r="P85" s="139"/>
      <c r="Q85" s="22"/>
    </row>
    <row r="86" spans="1:17" ht="22.75" customHeight="1" x14ac:dyDescent="0.3">
      <c r="B86" s="127" t="s">
        <v>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</row>
    <row r="87" spans="1:17" ht="22.75" customHeight="1" x14ac:dyDescent="0.3">
      <c r="A87" s="2"/>
      <c r="B87" s="126" t="s">
        <v>28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2021-11-17T06:16:35Z</cp:lastPrinted>
  <dcterms:created xsi:type="dcterms:W3CDTF">2012-09-17T22:36:33Z</dcterms:created>
  <dcterms:modified xsi:type="dcterms:W3CDTF">2021-11-22T12:56:20Z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